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Any DCC User" reservationPassword="C58C"/>
  <workbookPr codeName="ThisWorkbook" defaultThemeVersion="124226"/>
  <workbookProtection workbookPassword="C58C" lockStructure="1"/>
  <bookViews>
    <workbookView xWindow="240" yWindow="180" windowWidth="15600" windowHeight="8895" tabRatio="751"/>
  </bookViews>
  <sheets>
    <sheet name="School Formula Budget 2015-16" sheetId="39" r:id="rId1"/>
    <sheet name="Special Schools &amp; PRU" sheetId="34" r:id="rId2"/>
    <sheet name="Summary for Prints" sheetId="32" state="hidden" r:id="rId3"/>
    <sheet name="2015-16 Nursery Budget Final" sheetId="46" state="hidden" r:id="rId4"/>
    <sheet name="Special Schools 2015-16" sheetId="43" state="hidden" r:id="rId5"/>
    <sheet name="School &amp; Nursery Setting Lookup" sheetId="35" state="hidden" r:id="rId6"/>
    <sheet name="Special Schools List" sheetId="38" state="hidden" r:id="rId7"/>
    <sheet name="ERS 2015-16" sheetId="45" state="hidden" r:id="rId8"/>
    <sheet name="2015-16 FORMULA" sheetId="64" state="hidden" r:id="rId9"/>
    <sheet name="2015 Factor % to units" sheetId="66" state="hidden" r:id="rId10"/>
    <sheet name="IMS after cleansed by EFA" sheetId="65" state="hidden" r:id="rId11"/>
    <sheet name="AWPU" sheetId="67" state="hidden" r:id="rId12"/>
    <sheet name="DEP" sheetId="68" state="hidden" r:id="rId13"/>
    <sheet name="LAC" sheetId="69" state="hidden" r:id="rId14"/>
    <sheet name="LCHI" sheetId="70" state="hidden" r:id="rId15"/>
    <sheet name="EAL" sheetId="71" state="hidden" r:id="rId16"/>
    <sheet name="MOB" sheetId="72" state="hidden" r:id="rId17"/>
    <sheet name="LUMP SUM" sheetId="73" state="hidden" r:id="rId18"/>
    <sheet name="SPLIT SITE" sheetId="74" state="hidden" r:id="rId19"/>
    <sheet name="PFI" sheetId="75" state="hidden" r:id="rId20"/>
    <sheet name="RATES" sheetId="76" state="hidden" r:id="rId21"/>
    <sheet name="2015-16 MFG" sheetId="77" state="hidden" r:id="rId22"/>
    <sheet name="Notional SEN" sheetId="79" state="hidden" r:id="rId23"/>
    <sheet name="DE-DEL" sheetId="78" state="hidden" r:id="rId24"/>
  </sheets>
  <externalReferences>
    <externalReference r:id="rId25"/>
    <externalReference r:id="rId26"/>
    <externalReference r:id="rId27"/>
    <externalReference r:id="rId28"/>
  </externalReferences>
  <definedNames>
    <definedName name="___cmn14" localSheetId="3">#REF!</definedName>
    <definedName name="___cmn14" localSheetId="10">#REF!</definedName>
    <definedName name="___cmn14" localSheetId="0">#REF!</definedName>
    <definedName name="___cmn14" localSheetId="2">#REF!</definedName>
    <definedName name="___cmn14">#REF!</definedName>
    <definedName name="__cmn14" localSheetId="9">#REF!</definedName>
    <definedName name="__cmn14" localSheetId="3">#REF!</definedName>
    <definedName name="__cmn14" localSheetId="10">#REF!</definedName>
    <definedName name="__cmn14" localSheetId="5">#REF!</definedName>
    <definedName name="__cmn14" localSheetId="0">#REF!</definedName>
    <definedName name="__cmn14" localSheetId="1">#REF!</definedName>
    <definedName name="__cmn14" localSheetId="6">#REF!</definedName>
    <definedName name="__cmn14" localSheetId="2">#REF!</definedName>
    <definedName name="__cmn14">#REF!</definedName>
    <definedName name="_cmn14" localSheetId="9">#REF!</definedName>
    <definedName name="_cmn14" localSheetId="3">#REF!</definedName>
    <definedName name="_cmn14" localSheetId="10">#REF!</definedName>
    <definedName name="_cmn14" localSheetId="5">#REF!</definedName>
    <definedName name="_cmn14" localSheetId="0">#REF!</definedName>
    <definedName name="_cmn14" localSheetId="1">#REF!</definedName>
    <definedName name="_cmn14" localSheetId="6">#REF!</definedName>
    <definedName name="_cmn14" localSheetId="2">#REF!</definedName>
    <definedName name="_cmn14">#REF!</definedName>
    <definedName name="_xlnm._FilterDatabase" localSheetId="3" hidden="1">'2015-16 Nursery Budget Final'!$A$1:$AX$58</definedName>
    <definedName name="_xlnm._FilterDatabase" localSheetId="0" hidden="1">'School Formula Budget 2015-16'!#REF!</definedName>
    <definedName name="_xlnm._FilterDatabase" localSheetId="1" hidden="1">'Special Schools &amp; PRU'!#REF!</definedName>
    <definedName name="Adjustments_To_1314_SBS">'[1]Local Factors'!$Z$5</definedName>
    <definedName name="AWPU_KS3_Rate">[1]Proforma!$E$12</definedName>
    <definedName name="AWPU_KS4_Rate">[1]Proforma!$E$13</definedName>
    <definedName name="AWPU_Pri_Rate">[1]Proforma!$E$11</definedName>
    <definedName name="AWPU_Primary_DD_rate">'[1]De Delegation'!$V$8</definedName>
    <definedName name="AWPU_Sec_DD_rate">'[1]De Delegation'!$W$9</definedName>
    <definedName name="BUDSHEET" localSheetId="9">#REF!</definedName>
    <definedName name="BUDSHEET" localSheetId="3">#REF!</definedName>
    <definedName name="BUDSHEET" localSheetId="10">#REF!</definedName>
    <definedName name="BUDSHEET" localSheetId="5">#REF!</definedName>
    <definedName name="BUDSHEET" localSheetId="0">#REF!</definedName>
    <definedName name="BUDSHEET" localSheetId="1">#REF!</definedName>
    <definedName name="BUDSHEET" localSheetId="6">#REF!</definedName>
    <definedName name="BUDSHEET" localSheetId="2">#REF!</definedName>
    <definedName name="BUDSHEET">#REF!</definedName>
    <definedName name="Capping_Scaling_YesNo">[1]Proforma!$J$57</definedName>
    <definedName name="Ceiling">[1]Proforma!$D$58</definedName>
    <definedName name="datarows" localSheetId="9">[2]SchoolTable!#REF!</definedName>
    <definedName name="datarows" localSheetId="3">[2]SchoolTable!#REF!</definedName>
    <definedName name="datarows" localSheetId="10">[2]SchoolTable!#REF!</definedName>
    <definedName name="datarows" localSheetId="5">[2]SchoolTable!#REF!</definedName>
    <definedName name="datarows" localSheetId="0">[2]SchoolTable!#REF!</definedName>
    <definedName name="datarows" localSheetId="1">[2]SchoolTable!#REF!</definedName>
    <definedName name="datarows" localSheetId="6">[2]SchoolTable!#REF!</definedName>
    <definedName name="datarows" localSheetId="2">[2]SchoolTable!#REF!</definedName>
    <definedName name="datarows">[2]SchoolTable!#REF!</definedName>
    <definedName name="EAL_Pri">[1]Proforma!$E$27</definedName>
    <definedName name="EAL_Pri_DD_rate">'[1]De Delegation'!$V$21</definedName>
    <definedName name="EAL_Pri_Option">[1]Proforma!$D$27</definedName>
    <definedName name="EAL_Sec">[1]Proforma!$F$28</definedName>
    <definedName name="EAL_Sec_DD_rate">'[1]De Delegation'!$W$22</definedName>
    <definedName name="EAL_Sec_Option">[1]Proforma!$D$28</definedName>
    <definedName name="END" localSheetId="9">#REF!</definedName>
    <definedName name="END" localSheetId="3">#REF!</definedName>
    <definedName name="END" localSheetId="10">#REF!</definedName>
    <definedName name="END" localSheetId="5">#REF!</definedName>
    <definedName name="END" localSheetId="0">#REF!</definedName>
    <definedName name="END" localSheetId="1">#REF!</definedName>
    <definedName name="END" localSheetId="6">#REF!</definedName>
    <definedName name="END" localSheetId="2">#REF!</definedName>
    <definedName name="END">#REF!</definedName>
    <definedName name="enddfes" localSheetId="9">#REF!</definedName>
    <definedName name="enddfes" localSheetId="3">#REF!</definedName>
    <definedName name="enddfes" localSheetId="10">#REF!</definedName>
    <definedName name="enddfes" localSheetId="5">#REF!</definedName>
    <definedName name="enddfes" localSheetId="0">#REF!</definedName>
    <definedName name="enddfes" localSheetId="1">#REF!</definedName>
    <definedName name="enddfes" localSheetId="6">#REF!</definedName>
    <definedName name="enddfes" localSheetId="2">#REF!</definedName>
    <definedName name="enddfes">#REF!</definedName>
    <definedName name="Ethnicity___all_pupils" localSheetId="3">#REF!</definedName>
    <definedName name="Ethnicity___all_pupils" localSheetId="10">#REF!</definedName>
    <definedName name="Ethnicity___all_pupils" localSheetId="0">#REF!</definedName>
    <definedName name="Ethnicity___all_pupils" localSheetId="2">#REF!</definedName>
    <definedName name="Ethnicity___all_pupils">#REF!</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ExpYr1Chart" localSheetId="9">#REF!</definedName>
    <definedName name="ExpYr1Chart" localSheetId="3">#REF!</definedName>
    <definedName name="ExpYr1Chart" localSheetId="10">#REF!</definedName>
    <definedName name="ExpYr1Chart" localSheetId="5">#REF!</definedName>
    <definedName name="ExpYr1Chart" localSheetId="0">#REF!</definedName>
    <definedName name="ExpYr1Chart" localSheetId="1">#REF!</definedName>
    <definedName name="ExpYr1Chart" localSheetId="6">#REF!</definedName>
    <definedName name="ExpYr1Chart" localSheetId="2">#REF!</definedName>
    <definedName name="ExpYr1Chart">#REF!</definedName>
    <definedName name="ExpYr2Chart" localSheetId="9">#REF!</definedName>
    <definedName name="ExpYr2Chart" localSheetId="3">#REF!</definedName>
    <definedName name="ExpYr2Chart" localSheetId="10">#REF!</definedName>
    <definedName name="ExpYr2Chart" localSheetId="5">#REF!</definedName>
    <definedName name="ExpYr2Chart" localSheetId="0">#REF!</definedName>
    <definedName name="ExpYr2Chart" localSheetId="1">#REF!</definedName>
    <definedName name="ExpYr2Chart" localSheetId="6">#REF!</definedName>
    <definedName name="ExpYr2Chart" localSheetId="2">#REF!</definedName>
    <definedName name="ExpYr2Chart">#REF!</definedName>
    <definedName name="ExpYr3Chart" localSheetId="9">#REF!</definedName>
    <definedName name="ExpYr3Chart" localSheetId="3">#REF!</definedName>
    <definedName name="ExpYr3Chart" localSheetId="10">#REF!</definedName>
    <definedName name="ExpYr3Chart" localSheetId="5">#REF!</definedName>
    <definedName name="ExpYr3Chart" localSheetId="0">#REF!</definedName>
    <definedName name="ExpYr3Chart" localSheetId="1">#REF!</definedName>
    <definedName name="ExpYr3Chart" localSheetId="6">#REF!</definedName>
    <definedName name="ExpYr3Chart" localSheetId="2">#REF!</definedName>
    <definedName name="ExpYr3Chart">#REF!</definedName>
    <definedName name="Fringe_Total">'[1]New ISB'!$AE$5</definedName>
    <definedName name="FSM_eligibility___all_pupils" localSheetId="3">#REF!</definedName>
    <definedName name="FSM_eligibility___all_pupils" localSheetId="10">#REF!</definedName>
    <definedName name="FSM_eligibility___all_pupils" localSheetId="0">#REF!</definedName>
    <definedName name="FSM_eligibility___all_pupils" localSheetId="2">#REF!</definedName>
    <definedName name="FSM_eligibility___all_pupils">#REF!</definedName>
    <definedName name="FSM_Pri_DD_rate">'[1]De Delegation'!$V$10</definedName>
    <definedName name="FSM_Pri_Option">[1]Proforma!$D$15</definedName>
    <definedName name="FSM_Pri_Rate">[1]Proforma!$E$15</definedName>
    <definedName name="FSM_Sec_DD_rate">'[1]De Delegation'!$W$11</definedName>
    <definedName name="FSM_Sec_Option">[1]Proforma!$D$16</definedName>
    <definedName name="FSM_Sec_Rate">[1]Proforma!$F$16</definedName>
    <definedName name="IDACI_B1_Pri">[1]Proforma!$E$17</definedName>
    <definedName name="IDACI_B1_Pri_DD_rate">'[1]De Delegation'!$V$12</definedName>
    <definedName name="IDACI_B1_Sec">[1]Proforma!$F$17</definedName>
    <definedName name="IDACI_B1_Sec_DD_rate">'[1]De Delegation'!$W$12</definedName>
    <definedName name="IDACI_B2_Pri">[1]Proforma!$E$18</definedName>
    <definedName name="IDACI_B2_Pri_DD_rate">'[1]De Delegation'!$V$13</definedName>
    <definedName name="IDACI_B2_Sec">[1]Proforma!$F$18</definedName>
    <definedName name="IDACI_B2_Sec_DD_rate">'[1]De Delegation'!$W$13</definedName>
    <definedName name="IDACI_B3_Pri">[1]Proforma!$E$19</definedName>
    <definedName name="IDACI_B3_Pri_DD_rate">'[1]De Delegation'!$V$14</definedName>
    <definedName name="IDACI_B3_Sec">[1]Proforma!$F$19</definedName>
    <definedName name="IDACI_B3_Sec_DD_rate">'[1]De Delegation'!$W$14</definedName>
    <definedName name="IDACI_B4_Pri">[1]Proforma!$E$20</definedName>
    <definedName name="IDACI_B4_Pri_DD_rate">'[1]De Delegation'!$V$15</definedName>
    <definedName name="IDACI_B4_Sec">[1]Proforma!$F$20</definedName>
    <definedName name="IDACI_B4_Sec_DD_rate">'[1]De Delegation'!$W$15</definedName>
    <definedName name="IDACI_B5_Pri">[1]Proforma!$E$21</definedName>
    <definedName name="IDACI_B5_Pri_DD_rate">'[1]De Delegation'!$V$16</definedName>
    <definedName name="IDACI_B5_Sec">[1]Proforma!$F$21</definedName>
    <definedName name="IDACI_B5_Sec_DD_rate">'[1]De Delegation'!$W$16</definedName>
    <definedName name="IDACI_B6_Pri">[1]Proforma!$E$22</definedName>
    <definedName name="IDACI_B6_Pri_DD_rate">'[1]De Delegation'!$V$17</definedName>
    <definedName name="IDACI_B6_Sec">[1]Proforma!$F$22</definedName>
    <definedName name="IDACI_B6_Sec_DD_rate">'[1]De Delegation'!$W$17</definedName>
    <definedName name="j" localSheetId="9">[2]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3">[2]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10">[2]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5">[2]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0">[2]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1">[2]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6">[2]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2">[2]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LAC_Pri_DD_rate">'[1]De Delegation'!$V$18</definedName>
    <definedName name="LAC_Rate">[1]Proforma!$E$24</definedName>
    <definedName name="LAC_Sec_DD_rate">'[1]De Delegation'!$W$18</definedName>
    <definedName name="Language___all_pupils" localSheetId="3">#REF!</definedName>
    <definedName name="Language___all_pupils" localSheetId="10">#REF!</definedName>
    <definedName name="Language___all_pupils" localSheetId="0">#REF!</definedName>
    <definedName name="Language___all_pupils" localSheetId="2">#REF!</definedName>
    <definedName name="Language___all_pupils">#REF!</definedName>
    <definedName name="LCHI_Pri">[1]Proforma!$E$25</definedName>
    <definedName name="LCHI_Pri_DD_rate">'[1]De Delegation'!$V$19</definedName>
    <definedName name="LCHI_Pri_Option">[1]Proforma!$D$25</definedName>
    <definedName name="LCHI_Sec">[1]Proforma!$F$26</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obility_Pri">[1]Proforma!$E$29</definedName>
    <definedName name="Mobility_Pri_DD_Rate">'[1]De Delegation'!$V$23</definedName>
    <definedName name="Mobility_Sec">[1]Proforma!$F$29</definedName>
    <definedName name="Mobility_Sec_DD_Rate">'[1]De Delegation'!$W$23</definedName>
    <definedName name="new" localSheetId="3">#REF!</definedName>
    <definedName name="new" localSheetId="10">#REF!</definedName>
    <definedName name="new" localSheetId="0">#REF!</definedName>
    <definedName name="new" localSheetId="2">#REF!</definedName>
    <definedName name="new">#REF!</definedName>
    <definedName name="NFPPRIMGM" localSheetId="9">#REF!</definedName>
    <definedName name="NFPPRIMGM" localSheetId="3">#REF!</definedName>
    <definedName name="NFPPRIMGM" localSheetId="10">#REF!</definedName>
    <definedName name="NFPPRIMGM" localSheetId="5">#REF!</definedName>
    <definedName name="NFPPRIMGM" localSheetId="0">#REF!</definedName>
    <definedName name="NFPPRIMGM" localSheetId="1">#REF!</definedName>
    <definedName name="NFPPRIMGM" localSheetId="6">#REF!</definedName>
    <definedName name="NFPPRIMGM" localSheetId="2">#REF!</definedName>
    <definedName name="NFPPRIMGM">#REF!</definedName>
    <definedName name="NFPPRIMLEA" localSheetId="9">#REF!</definedName>
    <definedName name="NFPPRIMLEA" localSheetId="3">#REF!</definedName>
    <definedName name="NFPPRIMLEA" localSheetId="10">#REF!</definedName>
    <definedName name="NFPPRIMLEA" localSheetId="5">#REF!</definedName>
    <definedName name="NFPPRIMLEA" localSheetId="0">#REF!</definedName>
    <definedName name="NFPPRIMLEA" localSheetId="1">#REF!</definedName>
    <definedName name="NFPPRIMLEA" localSheetId="6">#REF!</definedName>
    <definedName name="NFPPRIMLEA" localSheetId="2">#REF!</definedName>
    <definedName name="NFPPRIMLEA">#REF!</definedName>
    <definedName name="non_prim">[2]SchoolTable!$A$21:$IV$33,[2]SchoolTable!$A$113:$IV$142</definedName>
    <definedName name="non_sec">[2]SchoolTable!$A$21:$IV$112,[2]SchoolTable!$A$129:$IV$140</definedName>
    <definedName name="non_spe">[2]SchoolTable!$A$21:$IV$128,[2]SchoolTable!$A$140:$IV$141</definedName>
    <definedName name="NonTable2_1" localSheetId="9">[2]SchoolTable!#REF!</definedName>
    <definedName name="NonTable2_1" localSheetId="3">[2]SchoolTable!#REF!</definedName>
    <definedName name="NonTable2_1" localSheetId="10">[2]SchoolTable!#REF!</definedName>
    <definedName name="NonTable2_1" localSheetId="5">[2]SchoolTable!#REF!</definedName>
    <definedName name="NonTable2_1" localSheetId="0">[2]SchoolTable!#REF!</definedName>
    <definedName name="NonTable2_1" localSheetId="1">[2]SchoolTable!#REF!</definedName>
    <definedName name="NonTable2_1" localSheetId="6">[2]SchoolTable!#REF!</definedName>
    <definedName name="NonTable2_1" localSheetId="2">[2]SchoolTable!#REF!</definedName>
    <definedName name="NonTable2_1">[2]SchoolTable!#REF!</definedName>
    <definedName name="NonTable2_2" localSheetId="9">[2]SchoolTable!#REF!</definedName>
    <definedName name="NonTable2_2" localSheetId="3">[2]SchoolTable!#REF!</definedName>
    <definedName name="NonTable2_2" localSheetId="10">[2]SchoolTable!#REF!</definedName>
    <definedName name="NonTable2_2" localSheetId="0">[2]SchoolTable!#REF!</definedName>
    <definedName name="NonTable2_2" localSheetId="1">[2]SchoolTable!#REF!</definedName>
    <definedName name="NonTable2_2" localSheetId="2">[2]SchoolTable!#REF!</definedName>
    <definedName name="NonTable2_2">[2]SchoolTable!#REF!</definedName>
    <definedName name="NonTable2_4" localSheetId="9">[2]SchoolTable!#REF!</definedName>
    <definedName name="NonTable2_4" localSheetId="3">[2]SchoolTable!#REF!</definedName>
    <definedName name="NonTable2_4" localSheetId="10">[2]SchoolTable!#REF!</definedName>
    <definedName name="NonTable2_4" localSheetId="0">[2]SchoolTable!#REF!</definedName>
    <definedName name="NonTable2_4" localSheetId="1">[2]SchoolTable!#REF!</definedName>
    <definedName name="NonTable2_4" localSheetId="2">[2]SchoolTable!#REF!</definedName>
    <definedName name="NonTable2_4">[2]SchoolTable!#REF!</definedName>
    <definedName name="Notional_SEN_AWPU_KS3">[1]Proforma!$L$12</definedName>
    <definedName name="Notional_SEN_AWPU_KS4">[1]Proforma!$L$13</definedName>
    <definedName name="Notional_SEN_AWPU_Pri">[1]Proforma!$L$11</definedName>
    <definedName name="Notional_SEN_EAL_Pri">[1]Proforma!$L$27</definedName>
    <definedName name="Notional_SEN_EAL_Sec">[1]Proforma!$M$28</definedName>
    <definedName name="Notional_SEN_ExCir1">[1]Proforma!$L$47</definedName>
    <definedName name="Notional_SEN_ExCir2">[1]Proforma!$L$48</definedName>
    <definedName name="Notional_SEN_ExCir3">[1]Proforma!$L$49</definedName>
    <definedName name="Notional_SEN_ExCir4">[1]Proforma!$L$50</definedName>
    <definedName name="Notional_SEN_ExCir5">[1]Proforma!$L$51</definedName>
    <definedName name="Notional_SEN_ExCir6">[1]Proforma!$L$52</definedName>
    <definedName name="Notional_SEN_Fringe">[1]Proforma!$L$40</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[1]Proforma!$L$25</definedName>
    <definedName name="Notional_SEN_LCHI_Sec">[1]Proforma!$M$26</definedName>
    <definedName name="Notional_SEN_Lump_sum">[1]Proforma!$L$35</definedName>
    <definedName name="Notional_SEN_Mobility_Pri">[1]Proforma!$L$29</definedName>
    <definedName name="Notional_SEN_Mobility_Sec">[1]Proforma!$M$29</definedName>
    <definedName name="Notional_SEN_PFI">[1]Proforma!$L$43</definedName>
    <definedName name="Notional_SEN_Rates">[1]Proforma!$L$42</definedName>
    <definedName name="Notional_SEN_SixthForm">[1]Proforma!$L$44</definedName>
    <definedName name="Notional_SEN_Sparsity">[1]Proforma!$L$36</definedName>
    <definedName name="Notional_SEN_Split_sites">[1]Proforma!$L$41</definedName>
    <definedName name="nursery">[2]SchoolTable!$A$1:$T$65536,[2]SchoolTable!$BR$1:$CE$65536,[2]SchoolTable!$EP$1:$EP$65536,[2]SchoolTable!$EQ$1:$EQ$65536,[2]SchoolTable!$ER$1:$ER$65536,[2]SchoolTable!$ET$1:$ET$65536,[2]SchoolTable!$EU$1:$EU$65536,[2]SchoolTable!$EV$1:$EV$65536,[2]SchoolTable!$EX$1:$EX$65536,[2]SchoolTable!$EY$1:$EY$65536,[2]SchoolTable!$EZ$1:$EZ$65536</definedName>
    <definedName name="old" localSheetId="3">#REF!</definedName>
    <definedName name="old" localSheetId="10">#REF!</definedName>
    <definedName name="old" localSheetId="0">#REF!</definedName>
    <definedName name="old" localSheetId="2">#REF!</definedName>
    <definedName name="old">#REF!</definedName>
    <definedName name="PayScales" localSheetId="9">#REF!</definedName>
    <definedName name="PayScales" localSheetId="3">#REF!</definedName>
    <definedName name="PayScales" localSheetId="10">#REF!</definedName>
    <definedName name="PayScales" localSheetId="5">#REF!</definedName>
    <definedName name="PayScales" localSheetId="0">#REF!</definedName>
    <definedName name="PayScales" localSheetId="1">#REF!</definedName>
    <definedName name="PayScales" localSheetId="6">#REF!</definedName>
    <definedName name="PayScales" localSheetId="2">#REF!</definedName>
    <definedName name="PayScales">#REF!</definedName>
    <definedName name="PFI_Total">'[1]New ISB'!$AH$5</definedName>
    <definedName name="PhaseTot">[2]SchoolTable!$L$1:$L$65536,[2]SchoolTable!$AK$1:$AK$65536,[2]SchoolTable!$BC$1:$BC$65536,[2]SchoolTable!$BP$1:$BP$65536</definedName>
    <definedName name="PoolPremiumNonTeaching" localSheetId="9">'[3]Admin EDB09-EDB18'!#REF!</definedName>
    <definedName name="PoolPremiumNonTeaching" localSheetId="3">'[3]Admin EDB09-EDB18'!#REF!</definedName>
    <definedName name="PoolPremiumNonTeaching" localSheetId="10">'[3]Admin EDB09-EDB18'!#REF!</definedName>
    <definedName name="PoolPremiumNonTeaching" localSheetId="0">'[3]Admin EDB09-EDB18'!#REF!</definedName>
    <definedName name="PoolPremiumNonTeaching" localSheetId="1">'[3]Admin EDB09-EDB18'!#REF!</definedName>
    <definedName name="PoolPremiumNonTeaching" localSheetId="2">'[3]Admin EDB09-EDB18'!#REF!</definedName>
    <definedName name="PoolPremiumNonTeaching">'[3]Admin EDB09-EDB18'!#REF!</definedName>
    <definedName name="Pri_distance_threshold">[1]Proforma!$D$38</definedName>
    <definedName name="Pri_PupilNo_threshold">[1]Proforma!$D$39</definedName>
    <definedName name="primary">[2]SchoolTable!$A$1:$AL$65536,[2]SchoolTable!$BR$1:$CM$65536,[2]SchoolTable!$CQ$1:$CR$65536,[2]SchoolTable!$CQ$1:$ER$65536,[2]SchoolTable!$ET$1:$EZ$65536</definedName>
    <definedName name="Primary_Lump_sum">[1]Proforma!$E$35</definedName>
    <definedName name="_xlnm.Print_Area" localSheetId="9">'2015 Factor % to units'!$A$2:$BH$85</definedName>
    <definedName name="_xlnm.Print_Area" localSheetId="8">'2015-16 FORMULA'!$A$1:$Z$130</definedName>
    <definedName name="_xlnm.Print_Area" localSheetId="3">'2015-16 Nursery Budget Final'!$A$61:$AX$218</definedName>
    <definedName name="_xlnm.Print_Area" localSheetId="10">'IMS after cleansed by EFA'!$B$1:$AN$121</definedName>
    <definedName name="_xlnm.Print_Area" localSheetId="20">RATES!$A$1:$O$123</definedName>
    <definedName name="_xlnm.Print_Area" localSheetId="0">'School Formula Budget 2015-16'!$B$1:$J$151</definedName>
    <definedName name="_xlnm.Print_Area" localSheetId="1">'Special Schools &amp; PRU'!$A$1:$D$27</definedName>
    <definedName name="_xlnm.Print_Area" localSheetId="2">'Summary for Prints'!$A$1:$AH$140</definedName>
    <definedName name="_xlnm.Print_Titles" localSheetId="9">'2015 Factor % to units'!$A:$B,'2015 Factor % to units'!$2:$2</definedName>
    <definedName name="_xlnm.Print_Titles" localSheetId="8">'2015-16 FORMULA'!$A:$B,'2015-16 FORMULA'!$1:$1</definedName>
    <definedName name="_xlnm.Print_Titles" localSheetId="3">'2015-16 Nursery Budget Final'!$A:$C,'2015-16 Nursery Budget Final'!$5:$5</definedName>
    <definedName name="_xlnm.Print_Titles" localSheetId="7">'ERS 2015-16'!$A:$A</definedName>
    <definedName name="_xlnm.Print_Titles" localSheetId="10">'IMS after cleansed by EFA'!$1:$2</definedName>
    <definedName name="_xlnm.Print_Titles" localSheetId="20">RATES!$6:$6</definedName>
    <definedName name="_xlnm.Print_Titles" localSheetId="2">'Summary for Prints'!$A:$B,'Summary for Prints'!$1:$1</definedName>
    <definedName name="PupilNumberChart" localSheetId="9">#REF!</definedName>
    <definedName name="PupilNumberChart" localSheetId="3">#REF!</definedName>
    <definedName name="PupilNumberChart" localSheetId="10">#REF!</definedName>
    <definedName name="PupilNumberChart" localSheetId="5">#REF!</definedName>
    <definedName name="PupilNumberChart" localSheetId="0">#REF!</definedName>
    <definedName name="PupilNumberChart" localSheetId="1">#REF!</definedName>
    <definedName name="PupilNumberChart" localSheetId="6">#REF!</definedName>
    <definedName name="PupilNumberChart" localSheetId="2">#REF!</definedName>
    <definedName name="PupilNumberChart">#REF!</definedName>
    <definedName name="PupilOnRoll" localSheetId="9">#REF!</definedName>
    <definedName name="PupilOnRoll" localSheetId="3">#REF!</definedName>
    <definedName name="PupilOnRoll" localSheetId="10">#REF!</definedName>
    <definedName name="PupilOnRoll" localSheetId="5">#REF!</definedName>
    <definedName name="PupilOnRoll" localSheetId="0">#REF!</definedName>
    <definedName name="PupilOnRoll" localSheetId="1">#REF!</definedName>
    <definedName name="PupilOnRoll" localSheetId="6">#REF!</definedName>
    <definedName name="PupilOnRoll" localSheetId="2">#REF!</definedName>
    <definedName name="PupilOnRoll">#REF!</definedName>
    <definedName name="Pupils_on_Roll__C___M_only__Crosstab" localSheetId="9">#REF!</definedName>
    <definedName name="Pupils_on_Roll__C___M_only__Crosstab" localSheetId="3">#REF!</definedName>
    <definedName name="Pupils_on_Roll__C___M_only__Crosstab" localSheetId="10">#REF!</definedName>
    <definedName name="Pupils_on_Roll__C___M_only__Crosstab" localSheetId="5">#REF!</definedName>
    <definedName name="Pupils_on_Roll__C___M_only__Crosstab" localSheetId="0">#REF!</definedName>
    <definedName name="Pupils_on_Roll__C___M_only__Crosstab" localSheetId="1">#REF!</definedName>
    <definedName name="Pupils_on_Roll__C___M_only__Crosstab" localSheetId="6">#REF!</definedName>
    <definedName name="Pupils_on_Roll__C___M_only__Crosstab" localSheetId="2">#REF!</definedName>
    <definedName name="Pupils_on_Roll__C___M_only__Crosstab">#REF!</definedName>
    <definedName name="Rates_Total">'[1]New ISB'!$AG$5</definedName>
    <definedName name="Reasons_list">'[1]Input &amp; Adjustments'!$BQ$6:$BQ$13</definedName>
    <definedName name="Reception_Uplift_YesNo">[1]Proforma!$E$9</definedName>
    <definedName name="Scaling_Factor">[1]Proforma!$G$58</definedName>
    <definedName name="Sch_type">[4]Rates!$A$4:$A$8</definedName>
    <definedName name="School" localSheetId="9">#REF!</definedName>
    <definedName name="School" localSheetId="3">#REF!</definedName>
    <definedName name="School" localSheetId="10">#REF!</definedName>
    <definedName name="School" localSheetId="5">#REF!</definedName>
    <definedName name="School" localSheetId="0">#REF!</definedName>
    <definedName name="School" localSheetId="1">#REF!</definedName>
    <definedName name="School" localSheetId="6">#REF!</definedName>
    <definedName name="School" localSheetId="2">#REF!</definedName>
    <definedName name="School">#REF!</definedName>
    <definedName name="School_list">'[1]New ISB'!$C$6:$C$250</definedName>
    <definedName name="Sec_distance_threshold">[1]Proforma!$G$38</definedName>
    <definedName name="Sec_PupilNo_threshold">[1]Proforma!$G$39</definedName>
    <definedName name="secondary">[2]SchoolTable!$A$1:$T$65536,[2]SchoolTable!$AM$1:$BD$65536,[2]SchoolTable!$BR$1:$EZ$65536</definedName>
    <definedName name="Secondary_Lump_Sum">[1]Proforma!$G$35</definedName>
    <definedName name="Sixth_Form_Total">'[1]New ISB'!$AI$5</definedName>
    <definedName name="smrow" localSheetId="9">[2]SchoolTable!#REF!</definedName>
    <definedName name="smrow" localSheetId="3">[2]SchoolTable!#REF!</definedName>
    <definedName name="smrow" localSheetId="10">[2]SchoolTable!#REF!</definedName>
    <definedName name="smrow" localSheetId="5">[2]SchoolTable!#REF!</definedName>
    <definedName name="smrow" localSheetId="0">[2]SchoolTable!#REF!</definedName>
    <definedName name="smrow" localSheetId="1">[2]SchoolTable!#REF!</definedName>
    <definedName name="smrow" localSheetId="6">[2]SchoolTable!#REF!</definedName>
    <definedName name="smrow" localSheetId="2">[2]SchoolTable!#REF!</definedName>
    <definedName name="smrow">[2]SchoolTable!#REF!</definedName>
    <definedName name="Sparsity_Pri_DD_percentage">'[1]De Delegation'!$V$26</definedName>
    <definedName name="Sparsity_Pri_lump_sum">[1]Proforma!$E$36</definedName>
    <definedName name="Sparsity_Sec_DD_percentage">'[1]De Delegation'!$W$26</definedName>
    <definedName name="Sparsity_Sec_lump_sum">[1]Proforma!$G$36</definedName>
    <definedName name="Sparsity_Total">'[1]New ISB'!$AD$5</definedName>
    <definedName name="special">[2]SchoolTable!$A$1:$T$65536,[2]SchoolTable!$BE$1:$BS$65536,[2]SchoolTable!$BS$1:$BT$1,[2]SchoolTable!$BR$1:$CM$65536,[2]SchoolTable!$CQ$1:$EZ$65536</definedName>
    <definedName name="Split_Sites_Total">'[1]New ISB'!$AF$5</definedName>
    <definedName name="startdfes" localSheetId="9">#REF!</definedName>
    <definedName name="startdfes" localSheetId="3">#REF!</definedName>
    <definedName name="startdfes" localSheetId="10">#REF!</definedName>
    <definedName name="startdfes" localSheetId="5">#REF!</definedName>
    <definedName name="startdfes" localSheetId="0">#REF!</definedName>
    <definedName name="startdfes" localSheetId="1">#REF!</definedName>
    <definedName name="startdfes" localSheetId="6">#REF!</definedName>
    <definedName name="startdfes" localSheetId="2">#REF!</definedName>
    <definedName name="startdfes">#REF!</definedName>
    <definedName name="T2_Notes_Check" localSheetId="9">#REF!</definedName>
    <definedName name="T2_Notes_Check" localSheetId="3">#REF!</definedName>
    <definedName name="T2_Notes_Check" localSheetId="10">#REF!</definedName>
    <definedName name="T2_Notes_Check" localSheetId="5">#REF!</definedName>
    <definedName name="T2_Notes_Check" localSheetId="0">#REF!</definedName>
    <definedName name="T2_Notes_Check" localSheetId="1">#REF!</definedName>
    <definedName name="T2_Notes_Check" localSheetId="6">#REF!</definedName>
    <definedName name="T2_Notes_Check" localSheetId="2">#REF!</definedName>
    <definedName name="T2_Notes_Check">#REF!</definedName>
    <definedName name="Table_2" localSheetId="9">[2]SchoolTable!$CM$1:$CM$65536,[2]SchoolTable!#REF!,[2]SchoolTable!$CP$1:$CP$65536,[2]SchoolTable!$CT$1:$CT$65536,[2]SchoolTable!$CW$1:$CW$65536,[2]SchoolTable!$CZ$1:$CZ$65536,[2]SchoolTable!$DC$1:$DC$65536,[2]SchoolTable!$DI$1:$DI$65536,[2]SchoolTable!$DQ$1:$DQ$65536,[2]SchoolTable!#REF!,[2]SchoolTable!$DX$1:$DX$65536</definedName>
    <definedName name="Table_2" localSheetId="3">[2]SchoolTable!$CM$1:$CM$65536,[2]SchoolTable!#REF!,[2]SchoolTable!$CP$1:$CP$65536,[2]SchoolTable!$CT$1:$CT$65536,[2]SchoolTable!$CW$1:$CW$65536,[2]SchoolTable!$CZ$1:$CZ$65536,[2]SchoolTable!$DC$1:$DC$65536,[2]SchoolTable!$DI$1:$DI$65536,[2]SchoolTable!$DQ$1:$DQ$65536,[2]SchoolTable!#REF!,[2]SchoolTable!$DX$1:$DX$65536</definedName>
    <definedName name="Table_2" localSheetId="10">[2]SchoolTable!$CM$1:$CM$65536,[2]SchoolTable!#REF!,[2]SchoolTable!$CP$1:$CP$65536,[2]SchoolTable!$CT$1:$CT$65536,[2]SchoolTable!$CW$1:$CW$65536,[2]SchoolTable!$CZ$1:$CZ$65536,[2]SchoolTable!$DC$1:$DC$65536,[2]SchoolTable!$DI$1:$DI$65536,[2]SchoolTable!$DQ$1:$DQ$65536,[2]SchoolTable!#REF!,[2]SchoolTable!$DX$1:$DX$65536</definedName>
    <definedName name="Table_2" localSheetId="5">[2]SchoolTable!$CM$1:$CM$65536,[2]SchoolTable!#REF!,[2]SchoolTable!$CP$1:$CP$65536,[2]SchoolTable!$CT$1:$CT$65536,[2]SchoolTable!$CW$1:$CW$65536,[2]SchoolTable!$CZ$1:$CZ$65536,[2]SchoolTable!$DC$1:$DC$65536,[2]SchoolTable!$DI$1:$DI$65536,[2]SchoolTable!$DQ$1:$DQ$65536,[2]SchoolTable!#REF!,[2]SchoolTable!$DX$1:$DX$65536</definedName>
    <definedName name="Table_2" localSheetId="0">[2]SchoolTable!$CM$1:$CM$65536,[2]SchoolTable!#REF!,[2]SchoolTable!$CP$1:$CP$65536,[2]SchoolTable!$CT$1:$CT$65536,[2]SchoolTable!$CW$1:$CW$65536,[2]SchoolTable!$CZ$1:$CZ$65536,[2]SchoolTable!$DC$1:$DC$65536,[2]SchoolTable!$DI$1:$DI$65536,[2]SchoolTable!$DQ$1:$DQ$65536,[2]SchoolTable!#REF!,[2]SchoolTable!$DX$1:$DX$65536</definedName>
    <definedName name="Table_2" localSheetId="1">[2]SchoolTable!$CM$1:$CM$65536,[2]SchoolTable!#REF!,[2]SchoolTable!$CP$1:$CP$65536,[2]SchoolTable!$CT$1:$CT$65536,[2]SchoolTable!$CW$1:$CW$65536,[2]SchoolTable!$CZ$1:$CZ$65536,[2]SchoolTable!$DC$1:$DC$65536,[2]SchoolTable!$DI$1:$DI$65536,[2]SchoolTable!$DQ$1:$DQ$65536,[2]SchoolTable!#REF!,[2]SchoolTable!$DX$1:$DX$65536</definedName>
    <definedName name="Table_2" localSheetId="6">[2]SchoolTable!$CM$1:$CM$65536,[2]SchoolTable!#REF!,[2]SchoolTable!$CP$1:$CP$65536,[2]SchoolTable!$CT$1:$CT$65536,[2]SchoolTable!$CW$1:$CW$65536,[2]SchoolTable!$CZ$1:$CZ$65536,[2]SchoolTable!$DC$1:$DC$65536,[2]SchoolTable!$DI$1:$DI$65536,[2]SchoolTable!$DQ$1:$DQ$65536,[2]SchoolTable!#REF!,[2]SchoolTable!$DX$1:$DX$65536</definedName>
    <definedName name="Table_2" localSheetId="2">[2]SchoolTable!$CM$1:$CM$65536,[2]SchoolTable!#REF!,[2]SchoolTable!$CP$1:$CP$65536,[2]SchoolTable!$CT$1:$CT$65536,[2]SchoolTable!$CW$1:$CW$65536,[2]SchoolTable!$CZ$1:$CZ$65536,[2]SchoolTable!$DC$1:$DC$65536,[2]SchoolTable!$DI$1:$DI$65536,[2]SchoolTable!$DQ$1:$DQ$65536,[2]SchoolTable!#REF!,[2]SchoolTable!$DX$1:$DX$65536</definedName>
    <definedName name="Table_2">[2]SchoolTable!$CM$1:$CM$65536,[2]SchoolTable!#REF!,[2]SchoolTable!$CP$1:$CP$65536,[2]SchoolTable!$CT$1:$CT$65536,[2]SchoolTable!$CW$1:$CW$65536,[2]SchoolTable!$CZ$1:$CZ$65536,[2]SchoolTable!$DC$1:$DC$65536,[2]SchoolTable!$DI$1:$DI$65536,[2]SchoolTable!$DQ$1:$DQ$65536,[2]SchoolTable!#REF!,[2]SchoolTable!$DX$1:$DX$65536</definedName>
    <definedName name="Table2">[2]SchoolTable!$A$1:$F$65536,[2]SchoolTable!$L$1:$N$65536,[2]SchoolTable!$S$1:$T$65536,[2]SchoolTable!$AK$1:$AL$65536,[2]SchoolTable!$BC$1:$BD$65536,[2]SchoolTable!$BP$1:$BQ$65536,[2]SchoolTable!$BR$1:$BR$65536</definedName>
    <definedName name="Table2_2">[2]SchoolTable!$CE$1:$CE$65536,[2]SchoolTable!$CM$1:$CM$65536,[2]SchoolTable!$CP$1:$CP$65536,[2]SchoolTable!$CT$1:$CT$65536,[2]SchoolTable!$CW$1:$CW$65536,[2]SchoolTable!$CZ$1:$CZ$65536,[2]SchoolTable!$DC$1:$DC$65536</definedName>
    <definedName name="Table2_3">[2]SchoolTable!$DI$1:$DI$65536,[2]SchoolTable!$DQ$1:$DQ$65536,[2]SchoolTable!$DX$1:$DX$65536,[2]SchoolTable!$EB$1:$EB$65536,[2]SchoolTable!$EE$1:$EE$65536,[2]SchoolTable!$EH$1:$EH$65536,[2]SchoolTable!$EO$1:$EO$65536</definedName>
    <definedName name="Table2_5" localSheetId="9">[2]SchoolTable!$CM$1:$CM$65536,[2]SchoolTable!#REF!,[2]SchoolTable!$CP$1:$CP$65536,[2]SchoolTable!$CT$1:$CT$65536,[2]SchoolTable!$CW$1:$CW$65536,[2]SchoolTable!$CZ$1:$CZ$65536</definedName>
    <definedName name="Table2_5" localSheetId="3">[2]SchoolTable!$CM$1:$CM$65536,[2]SchoolTable!#REF!,[2]SchoolTable!$CP$1:$CP$65536,[2]SchoolTable!$CT$1:$CT$65536,[2]SchoolTable!$CW$1:$CW$65536,[2]SchoolTable!$CZ$1:$CZ$65536</definedName>
    <definedName name="Table2_5" localSheetId="10">[2]SchoolTable!$CM$1:$CM$65536,[2]SchoolTable!#REF!,[2]SchoolTable!$CP$1:$CP$65536,[2]SchoolTable!$CT$1:$CT$65536,[2]SchoolTable!$CW$1:$CW$65536,[2]SchoolTable!$CZ$1:$CZ$65536</definedName>
    <definedName name="Table2_5" localSheetId="5">[2]SchoolTable!$CM$1:$CM$65536,[2]SchoolTable!#REF!,[2]SchoolTable!$CP$1:$CP$65536,[2]SchoolTable!$CT$1:$CT$65536,[2]SchoolTable!$CW$1:$CW$65536,[2]SchoolTable!$CZ$1:$CZ$65536</definedName>
    <definedName name="Table2_5" localSheetId="0">[2]SchoolTable!$CM$1:$CM$65536,[2]SchoolTable!#REF!,[2]SchoolTable!$CP$1:$CP$65536,[2]SchoolTable!$CT$1:$CT$65536,[2]SchoolTable!$CW$1:$CW$65536,[2]SchoolTable!$CZ$1:$CZ$65536</definedName>
    <definedName name="Table2_5" localSheetId="1">[2]SchoolTable!$CM$1:$CM$65536,[2]SchoolTable!#REF!,[2]SchoolTable!$CP$1:$CP$65536,[2]SchoolTable!$CT$1:$CT$65536,[2]SchoolTable!$CW$1:$CW$65536,[2]SchoolTable!$CZ$1:$CZ$65536</definedName>
    <definedName name="Table2_5" localSheetId="6">[2]SchoolTable!$CM$1:$CM$65536,[2]SchoolTable!#REF!,[2]SchoolTable!$CP$1:$CP$65536,[2]SchoolTable!$CT$1:$CT$65536,[2]SchoolTable!$CW$1:$CW$65536,[2]SchoolTable!$CZ$1:$CZ$65536</definedName>
    <definedName name="Table2_5" localSheetId="2">[2]SchoolTable!$CM$1:$CM$65536,[2]SchoolTable!#REF!,[2]SchoolTable!$CP$1:$CP$65536,[2]SchoolTable!$CT$1:$CT$65536,[2]SchoolTable!$CW$1:$CW$65536,[2]SchoolTable!$CZ$1:$CZ$65536</definedName>
    <definedName name="Table2_5">[2]SchoolTable!$CM$1:$CM$65536,[2]SchoolTable!#REF!,[2]SchoolTable!$CP$1:$CP$65536,[2]SchoolTable!$CT$1:$CT$65536,[2]SchoolTable!$CW$1:$CW$65536,[2]SchoolTable!$CZ$1:$CZ$65536</definedName>
    <definedName name="TableName">"Dummy"</definedName>
    <definedName name="Tapered_lump_sum">[1]Proforma!$I$36</definedName>
    <definedName name="Total_Notional_SEN">'[1]New ISB'!$AS$5</definedName>
    <definedName name="Total_Primary_funding">'[1]New ISB'!$AU$5</definedName>
    <definedName name="Total_Secondary_Funding">'[1]New ISB'!$AV$5</definedName>
    <definedName name="zdata" localSheetId="9">#REF!</definedName>
    <definedName name="zdata" localSheetId="3">#REF!</definedName>
    <definedName name="zdata" localSheetId="10">#REF!</definedName>
    <definedName name="zdata" localSheetId="5">#REF!</definedName>
    <definedName name="zdata" localSheetId="0">#REF!</definedName>
    <definedName name="zdata" localSheetId="1">#REF!</definedName>
    <definedName name="zdata" localSheetId="6">#REF!</definedName>
    <definedName name="zdata" localSheetId="2">#REF!</definedName>
    <definedName name="zdata">#REF!</definedName>
  </definedNames>
  <calcPr calcId="145621"/>
</workbook>
</file>

<file path=xl/calcChain.xml><?xml version="1.0" encoding="utf-8"?>
<calcChain xmlns="http://schemas.openxmlformats.org/spreadsheetml/2006/main">
  <c r="Z130" i="32" l="1"/>
  <c r="Z121" i="32" l="1"/>
  <c r="AX223" i="46"/>
  <c r="Y102" i="32" l="1"/>
  <c r="Y101" i="32"/>
  <c r="AZ52" i="46"/>
  <c r="Z140" i="64" l="1"/>
  <c r="X150" i="64"/>
  <c r="AA102" i="32"/>
  <c r="Z122" i="32"/>
  <c r="AK112" i="32"/>
  <c r="Y112" i="32"/>
  <c r="AA112" i="32"/>
  <c r="AL390" i="32"/>
  <c r="AK390" i="32"/>
  <c r="Z128" i="32"/>
  <c r="Z127" i="32"/>
  <c r="AV93" i="66"/>
  <c r="AU93" i="66"/>
  <c r="AV87" i="66"/>
  <c r="AL112" i="32" l="1"/>
  <c r="AK113" i="32"/>
  <c r="AL113" i="32"/>
  <c r="AL92" i="32" l="1"/>
  <c r="AK94" i="32"/>
  <c r="AC3" i="32"/>
  <c r="S78" i="68" l="1"/>
  <c r="U78" i="68"/>
  <c r="W78" i="68"/>
  <c r="Y78" i="68"/>
  <c r="AA78" i="68"/>
  <c r="AC78" i="68"/>
  <c r="AE78" i="68"/>
  <c r="T94" i="68"/>
  <c r="V94" i="68"/>
  <c r="X94" i="68"/>
  <c r="Z94" i="68"/>
  <c r="AB94" i="68"/>
  <c r="AD94" i="68"/>
  <c r="R94" i="68"/>
  <c r="A79" i="68"/>
  <c r="D111" i="68"/>
  <c r="C111" i="68"/>
  <c r="D110" i="68"/>
  <c r="C110" i="68"/>
  <c r="D109" i="68"/>
  <c r="C109" i="68"/>
  <c r="D108" i="68"/>
  <c r="C108" i="68"/>
  <c r="D107" i="68"/>
  <c r="C107" i="68"/>
  <c r="D107" i="79" l="1"/>
  <c r="D106" i="79"/>
  <c r="D108" i="79" s="1"/>
  <c r="Q105" i="79"/>
  <c r="U102" i="79"/>
  <c r="AF100" i="79"/>
  <c r="AE100" i="79"/>
  <c r="AD100" i="79"/>
  <c r="AB100" i="79"/>
  <c r="Z100" i="79"/>
  <c r="X100" i="79"/>
  <c r="W100" i="79"/>
  <c r="V100" i="79"/>
  <c r="U100" i="79"/>
  <c r="T100" i="79"/>
  <c r="R100" i="79"/>
  <c r="AG98" i="79"/>
  <c r="AE98" i="79"/>
  <c r="AC98" i="79"/>
  <c r="AC100" i="79" s="1"/>
  <c r="AA98" i="79"/>
  <c r="AA100" i="79" s="1"/>
  <c r="Y98" i="79"/>
  <c r="Y100" i="79" s="1"/>
  <c r="W98" i="79"/>
  <c r="S98" i="79"/>
  <c r="AF96" i="79"/>
  <c r="AD96" i="79"/>
  <c r="AB96" i="79"/>
  <c r="Z96" i="79"/>
  <c r="X96" i="79"/>
  <c r="V96" i="79"/>
  <c r="U96" i="79"/>
  <c r="T96" i="79"/>
  <c r="R96" i="79"/>
  <c r="AG94" i="79"/>
  <c r="AE94" i="79"/>
  <c r="AC94" i="79"/>
  <c r="AA94" i="79"/>
  <c r="Y94" i="79"/>
  <c r="W94" i="79"/>
  <c r="S94" i="79"/>
  <c r="AG93" i="79"/>
  <c r="AH93" i="79" s="1"/>
  <c r="AE93" i="79"/>
  <c r="AC93" i="79"/>
  <c r="AA93" i="79"/>
  <c r="Y93" i="79"/>
  <c r="W93" i="79"/>
  <c r="Q93" i="79"/>
  <c r="AG92" i="79"/>
  <c r="AH92" i="79" s="1"/>
  <c r="AE92" i="79"/>
  <c r="AC92" i="79"/>
  <c r="AA92" i="79"/>
  <c r="Y92" i="79"/>
  <c r="W92" i="79"/>
  <c r="S92" i="79"/>
  <c r="AG91" i="79"/>
  <c r="AE91" i="79"/>
  <c r="AC91" i="79"/>
  <c r="AH91" i="79" s="1"/>
  <c r="AA91" i="79"/>
  <c r="Y91" i="79"/>
  <c r="W91" i="79"/>
  <c r="S91" i="79"/>
  <c r="AG90" i="79"/>
  <c r="AE90" i="79"/>
  <c r="AC90" i="79"/>
  <c r="AA90" i="79"/>
  <c r="AH90" i="79" s="1"/>
  <c r="Y90" i="79"/>
  <c r="W90" i="79"/>
  <c r="S90" i="79"/>
  <c r="AG89" i="79"/>
  <c r="AE89" i="79"/>
  <c r="AC89" i="79"/>
  <c r="AA89" i="79"/>
  <c r="Y89" i="79"/>
  <c r="W89" i="79"/>
  <c r="S89" i="79"/>
  <c r="AG88" i="79"/>
  <c r="AE88" i="79"/>
  <c r="AC88" i="79"/>
  <c r="AA88" i="79"/>
  <c r="Y88" i="79"/>
  <c r="W88" i="79"/>
  <c r="S88" i="79"/>
  <c r="AG87" i="79"/>
  <c r="AE87" i="79"/>
  <c r="AC87" i="79"/>
  <c r="AH87" i="79" s="1"/>
  <c r="AA87" i="79"/>
  <c r="Y87" i="79"/>
  <c r="W87" i="79"/>
  <c r="S87" i="79"/>
  <c r="AG86" i="79"/>
  <c r="AE86" i="79"/>
  <c r="AC86" i="79"/>
  <c r="AA86" i="79"/>
  <c r="AH86" i="79" s="1"/>
  <c r="Y86" i="79"/>
  <c r="W86" i="79"/>
  <c r="S86" i="79"/>
  <c r="AG85" i="79"/>
  <c r="AE85" i="79"/>
  <c r="AC85" i="79"/>
  <c r="AA85" i="79"/>
  <c r="Y85" i="79"/>
  <c r="W85" i="79"/>
  <c r="S85" i="79"/>
  <c r="AG84" i="79"/>
  <c r="AE84" i="79"/>
  <c r="AC84" i="79"/>
  <c r="AA84" i="79"/>
  <c r="Y84" i="79"/>
  <c r="W84" i="79"/>
  <c r="S84" i="79"/>
  <c r="AG83" i="79"/>
  <c r="AE83" i="79"/>
  <c r="AC83" i="79"/>
  <c r="AA83" i="79"/>
  <c r="AH83" i="79" s="1"/>
  <c r="Y83" i="79"/>
  <c r="W83" i="79"/>
  <c r="S83" i="79"/>
  <c r="AG82" i="79"/>
  <c r="AE82" i="79"/>
  <c r="AC82" i="79"/>
  <c r="AA82" i="79"/>
  <c r="Y82" i="79"/>
  <c r="W82" i="79"/>
  <c r="S82" i="79"/>
  <c r="AG81" i="79"/>
  <c r="AE81" i="79"/>
  <c r="AC81" i="79"/>
  <c r="AC96" i="79" s="1"/>
  <c r="AA81" i="79"/>
  <c r="Y81" i="79"/>
  <c r="W81" i="79"/>
  <c r="S81" i="79"/>
  <c r="AF79" i="79"/>
  <c r="AF102" i="79" s="1"/>
  <c r="AD79" i="79"/>
  <c r="AD102" i="79" s="1"/>
  <c r="AB79" i="79"/>
  <c r="AB102" i="79" s="1"/>
  <c r="Z79" i="79"/>
  <c r="X79" i="79"/>
  <c r="V79" i="79"/>
  <c r="V102" i="79" s="1"/>
  <c r="U79" i="79"/>
  <c r="T79" i="79"/>
  <c r="R79" i="79"/>
  <c r="R102" i="79" s="1"/>
  <c r="AG77" i="79"/>
  <c r="AE77" i="79"/>
  <c r="AC77" i="79"/>
  <c r="AA77" i="79"/>
  <c r="Y77" i="79"/>
  <c r="W77" i="79"/>
  <c r="AG76" i="79"/>
  <c r="AE76" i="79"/>
  <c r="AC76" i="79"/>
  <c r="AA76" i="79"/>
  <c r="Y76" i="79"/>
  <c r="W76" i="79"/>
  <c r="AG75" i="79"/>
  <c r="AE75" i="79"/>
  <c r="AC75" i="79"/>
  <c r="AA75" i="79"/>
  <c r="Y75" i="79"/>
  <c r="W75" i="79"/>
  <c r="AG74" i="79"/>
  <c r="AE74" i="79"/>
  <c r="AC74" i="79"/>
  <c r="AA74" i="79"/>
  <c r="Y74" i="79"/>
  <c r="W74" i="79"/>
  <c r="AG73" i="79"/>
  <c r="AE73" i="79"/>
  <c r="AC73" i="79"/>
  <c r="AA73" i="79"/>
  <c r="Y73" i="79"/>
  <c r="W73" i="79"/>
  <c r="AG72" i="79"/>
  <c r="AE72" i="79"/>
  <c r="AC72" i="79"/>
  <c r="AA72" i="79"/>
  <c r="Y72" i="79"/>
  <c r="W72" i="79"/>
  <c r="AG71" i="79"/>
  <c r="AE71" i="79"/>
  <c r="AC71" i="79"/>
  <c r="AA71" i="79"/>
  <c r="Y71" i="79"/>
  <c r="W71" i="79"/>
  <c r="AG70" i="79"/>
  <c r="AE70" i="79"/>
  <c r="AC70" i="79"/>
  <c r="AA70" i="79"/>
  <c r="Y70" i="79"/>
  <c r="W70" i="79"/>
  <c r="AG69" i="79"/>
  <c r="AE69" i="79"/>
  <c r="AC69" i="79"/>
  <c r="AA69" i="79"/>
  <c r="Y69" i="79"/>
  <c r="W69" i="79"/>
  <c r="AG68" i="79"/>
  <c r="AE68" i="79"/>
  <c r="AC68" i="79"/>
  <c r="AA68" i="79"/>
  <c r="Y68" i="79"/>
  <c r="W68" i="79"/>
  <c r="AG67" i="79"/>
  <c r="AE67" i="79"/>
  <c r="AC67" i="79"/>
  <c r="AA67" i="79"/>
  <c r="Y67" i="79"/>
  <c r="W67" i="79"/>
  <c r="AG66" i="79"/>
  <c r="AE66" i="79"/>
  <c r="AC66" i="79"/>
  <c r="AA66" i="79"/>
  <c r="Y66" i="79"/>
  <c r="W66" i="79"/>
  <c r="AG65" i="79"/>
  <c r="AE65" i="79"/>
  <c r="AC65" i="79"/>
  <c r="AA65" i="79"/>
  <c r="Y65" i="79"/>
  <c r="W65" i="79"/>
  <c r="AG64" i="79"/>
  <c r="AE64" i="79"/>
  <c r="AC64" i="79"/>
  <c r="AA64" i="79"/>
  <c r="Y64" i="79"/>
  <c r="W64" i="79"/>
  <c r="AG63" i="79"/>
  <c r="AE63" i="79"/>
  <c r="AC63" i="79"/>
  <c r="AA63" i="79"/>
  <c r="AH63" i="79" s="1"/>
  <c r="Y63" i="79"/>
  <c r="W63" i="79"/>
  <c r="AG62" i="79"/>
  <c r="AE62" i="79"/>
  <c r="AC62" i="79"/>
  <c r="AA62" i="79"/>
  <c r="Y62" i="79"/>
  <c r="W62" i="79"/>
  <c r="AG61" i="79"/>
  <c r="AE61" i="79"/>
  <c r="AC61" i="79"/>
  <c r="AA61" i="79"/>
  <c r="AH61" i="79" s="1"/>
  <c r="Y61" i="79"/>
  <c r="W61" i="79"/>
  <c r="AG60" i="79"/>
  <c r="AE60" i="79"/>
  <c r="AC60" i="79"/>
  <c r="AA60" i="79"/>
  <c r="Y60" i="79"/>
  <c r="W60" i="79"/>
  <c r="AG59" i="79"/>
  <c r="AE59" i="79"/>
  <c r="AC59" i="79"/>
  <c r="AA59" i="79"/>
  <c r="AH59" i="79" s="1"/>
  <c r="Y59" i="79"/>
  <c r="W59" i="79"/>
  <c r="AG58" i="79"/>
  <c r="AE58" i="79"/>
  <c r="AC58" i="79"/>
  <c r="AA58" i="79"/>
  <c r="Y58" i="79"/>
  <c r="W58" i="79"/>
  <c r="AG57" i="79"/>
  <c r="AH57" i="79" s="1"/>
  <c r="AE57" i="79"/>
  <c r="AC57" i="79"/>
  <c r="AA57" i="79"/>
  <c r="Y57" i="79"/>
  <c r="W57" i="79"/>
  <c r="AG56" i="79"/>
  <c r="AE56" i="79"/>
  <c r="AC56" i="79"/>
  <c r="AA56" i="79"/>
  <c r="Y56" i="79"/>
  <c r="W56" i="79"/>
  <c r="AG55" i="79"/>
  <c r="AE55" i="79"/>
  <c r="AC55" i="79"/>
  <c r="AA55" i="79"/>
  <c r="AH55" i="79" s="1"/>
  <c r="Y55" i="79"/>
  <c r="W55" i="79"/>
  <c r="AG54" i="79"/>
  <c r="AE54" i="79"/>
  <c r="AC54" i="79"/>
  <c r="AA54" i="79"/>
  <c r="Y54" i="79"/>
  <c r="W54" i="79"/>
  <c r="AG53" i="79"/>
  <c r="AH53" i="79" s="1"/>
  <c r="AE53" i="79"/>
  <c r="AC53" i="79"/>
  <c r="AA53" i="79"/>
  <c r="Y53" i="79"/>
  <c r="W53" i="79"/>
  <c r="AG52" i="79"/>
  <c r="AE52" i="79"/>
  <c r="AC52" i="79"/>
  <c r="AA52" i="79"/>
  <c r="Y52" i="79"/>
  <c r="W52" i="79"/>
  <c r="AG51" i="79"/>
  <c r="AE51" i="79"/>
  <c r="AC51" i="79"/>
  <c r="AA51" i="79"/>
  <c r="AH51" i="79" s="1"/>
  <c r="Y51" i="79"/>
  <c r="W51" i="79"/>
  <c r="AG50" i="79"/>
  <c r="AE50" i="79"/>
  <c r="AC50" i="79"/>
  <c r="AA50" i="79"/>
  <c r="Y50" i="79"/>
  <c r="W50" i="79"/>
  <c r="AG49" i="79"/>
  <c r="AH49" i="79" s="1"/>
  <c r="AE49" i="79"/>
  <c r="AC49" i="79"/>
  <c r="AA49" i="79"/>
  <c r="Y49" i="79"/>
  <c r="W49" i="79"/>
  <c r="AG48" i="79"/>
  <c r="AE48" i="79"/>
  <c r="AC48" i="79"/>
  <c r="AA48" i="79"/>
  <c r="Y48" i="79"/>
  <c r="W48" i="79"/>
  <c r="AG47" i="79"/>
  <c r="AE47" i="79"/>
  <c r="AC47" i="79"/>
  <c r="AA47" i="79"/>
  <c r="AH47" i="79" s="1"/>
  <c r="Y47" i="79"/>
  <c r="W47" i="79"/>
  <c r="AG46" i="79"/>
  <c r="AE46" i="79"/>
  <c r="AC46" i="79"/>
  <c r="AA46" i="79"/>
  <c r="Y46" i="79"/>
  <c r="W46" i="79"/>
  <c r="AG45" i="79"/>
  <c r="AH45" i="79" s="1"/>
  <c r="AE45" i="79"/>
  <c r="AC45" i="79"/>
  <c r="AA45" i="79"/>
  <c r="Y45" i="79"/>
  <c r="W45" i="79"/>
  <c r="AG44" i="79"/>
  <c r="AE44" i="79"/>
  <c r="AC44" i="79"/>
  <c r="AA44" i="79"/>
  <c r="Y44" i="79"/>
  <c r="W44" i="79"/>
  <c r="AG43" i="79"/>
  <c r="AE43" i="79"/>
  <c r="AC43" i="79"/>
  <c r="AA43" i="79"/>
  <c r="AH43" i="79" s="1"/>
  <c r="Y43" i="79"/>
  <c r="W43" i="79"/>
  <c r="AG42" i="79"/>
  <c r="AE42" i="79"/>
  <c r="AC42" i="79"/>
  <c r="AA42" i="79"/>
  <c r="Y42" i="79"/>
  <c r="W42" i="79"/>
  <c r="AG41" i="79"/>
  <c r="AH41" i="79" s="1"/>
  <c r="AE41" i="79"/>
  <c r="AC41" i="79"/>
  <c r="AA41" i="79"/>
  <c r="Y41" i="79"/>
  <c r="W41" i="79"/>
  <c r="AG40" i="79"/>
  <c r="AE40" i="79"/>
  <c r="AC40" i="79"/>
  <c r="AA40" i="79"/>
  <c r="Y40" i="79"/>
  <c r="W40" i="79"/>
  <c r="AG39" i="79"/>
  <c r="AE39" i="79"/>
  <c r="AC39" i="79"/>
  <c r="AA39" i="79"/>
  <c r="AH39" i="79" s="1"/>
  <c r="Y39" i="79"/>
  <c r="W39" i="79"/>
  <c r="AG38" i="79"/>
  <c r="AE38" i="79"/>
  <c r="AC38" i="79"/>
  <c r="AA38" i="79"/>
  <c r="Y38" i="79"/>
  <c r="W38" i="79"/>
  <c r="AG37" i="79"/>
  <c r="AH37" i="79" s="1"/>
  <c r="AE37" i="79"/>
  <c r="AC37" i="79"/>
  <c r="AA37" i="79"/>
  <c r="Y37" i="79"/>
  <c r="W37" i="79"/>
  <c r="AG36" i="79"/>
  <c r="AE36" i="79"/>
  <c r="AC36" i="79"/>
  <c r="AA36" i="79"/>
  <c r="Y36" i="79"/>
  <c r="W36" i="79"/>
  <c r="AG35" i="79"/>
  <c r="AE35" i="79"/>
  <c r="AC35" i="79"/>
  <c r="AA35" i="79"/>
  <c r="AH35" i="79" s="1"/>
  <c r="Y35" i="79"/>
  <c r="W35" i="79"/>
  <c r="AG34" i="79"/>
  <c r="AE34" i="79"/>
  <c r="AC34" i="79"/>
  <c r="AA34" i="79"/>
  <c r="Y34" i="79"/>
  <c r="W34" i="79"/>
  <c r="AG33" i="79"/>
  <c r="AE33" i="79"/>
  <c r="AC33" i="79"/>
  <c r="AA33" i="79"/>
  <c r="AH33" i="79" s="1"/>
  <c r="Y33" i="79"/>
  <c r="W33" i="79"/>
  <c r="AG32" i="79"/>
  <c r="AE32" i="79"/>
  <c r="AC32" i="79"/>
  <c r="AA32" i="79"/>
  <c r="Y32" i="79"/>
  <c r="W32" i="79"/>
  <c r="AG31" i="79"/>
  <c r="AE31" i="79"/>
  <c r="AC31" i="79"/>
  <c r="AA31" i="79"/>
  <c r="Y31" i="79"/>
  <c r="W31" i="79"/>
  <c r="AG30" i="79"/>
  <c r="AE30" i="79"/>
  <c r="AC30" i="79"/>
  <c r="AA30" i="79"/>
  <c r="Y30" i="79"/>
  <c r="W30" i="79"/>
  <c r="AG29" i="79"/>
  <c r="AE29" i="79"/>
  <c r="AC29" i="79"/>
  <c r="AA29" i="79"/>
  <c r="Y29" i="79"/>
  <c r="W29" i="79"/>
  <c r="AG28" i="79"/>
  <c r="AE28" i="79"/>
  <c r="AC28" i="79"/>
  <c r="AA28" i="79"/>
  <c r="Y28" i="79"/>
  <c r="W28" i="79"/>
  <c r="AG27" i="79"/>
  <c r="AH27" i="79" s="1"/>
  <c r="AE27" i="79"/>
  <c r="AC27" i="79"/>
  <c r="AA27" i="79"/>
  <c r="Y27" i="79"/>
  <c r="W27" i="79"/>
  <c r="AG26" i="79"/>
  <c r="AE26" i="79"/>
  <c r="AC26" i="79"/>
  <c r="AA26" i="79"/>
  <c r="Y26" i="79"/>
  <c r="W26" i="79"/>
  <c r="AG25" i="79"/>
  <c r="AE25" i="79"/>
  <c r="AC25" i="79"/>
  <c r="AA25" i="79"/>
  <c r="Y25" i="79"/>
  <c r="W25" i="79"/>
  <c r="AG24" i="79"/>
  <c r="AE24" i="79"/>
  <c r="AC24" i="79"/>
  <c r="AA24" i="79"/>
  <c r="Y24" i="79"/>
  <c r="W24" i="79"/>
  <c r="AG23" i="79"/>
  <c r="AE23" i="79"/>
  <c r="AC23" i="79"/>
  <c r="AA23" i="79"/>
  <c r="Y23" i="79"/>
  <c r="W23" i="79"/>
  <c r="AG22" i="79"/>
  <c r="AE22" i="79"/>
  <c r="AC22" i="79"/>
  <c r="AA22" i="79"/>
  <c r="AH22" i="79" s="1"/>
  <c r="Y22" i="79"/>
  <c r="W22" i="79"/>
  <c r="AG21" i="79"/>
  <c r="AE21" i="79"/>
  <c r="AC21" i="79"/>
  <c r="AA21" i="79"/>
  <c r="Y21" i="79"/>
  <c r="W21" i="79"/>
  <c r="AG20" i="79"/>
  <c r="AE20" i="79"/>
  <c r="AC20" i="79"/>
  <c r="AA20" i="79"/>
  <c r="AH20" i="79" s="1"/>
  <c r="Y20" i="79"/>
  <c r="W20" i="79"/>
  <c r="AG19" i="79"/>
  <c r="AE19" i="79"/>
  <c r="AC19" i="79"/>
  <c r="AA19" i="79"/>
  <c r="Y19" i="79"/>
  <c r="W19" i="79"/>
  <c r="AG18" i="79"/>
  <c r="AE18" i="79"/>
  <c r="AC18" i="79"/>
  <c r="AA18" i="79"/>
  <c r="AH18" i="79" s="1"/>
  <c r="Y18" i="79"/>
  <c r="W18" i="79"/>
  <c r="AG17" i="79"/>
  <c r="AE17" i="79"/>
  <c r="AC17" i="79"/>
  <c r="AA17" i="79"/>
  <c r="Y17" i="79"/>
  <c r="W17" i="79"/>
  <c r="AG16" i="79"/>
  <c r="AE16" i="79"/>
  <c r="AC16" i="79"/>
  <c r="AA16" i="79"/>
  <c r="AH16" i="79" s="1"/>
  <c r="Y16" i="79"/>
  <c r="W16" i="79"/>
  <c r="AG15" i="79"/>
  <c r="AE15" i="79"/>
  <c r="AC15" i="79"/>
  <c r="AA15" i="79"/>
  <c r="Y15" i="79"/>
  <c r="W15" i="79"/>
  <c r="AG14" i="79"/>
  <c r="AE14" i="79"/>
  <c r="AC14" i="79"/>
  <c r="AH14" i="79" s="1"/>
  <c r="AA14" i="79"/>
  <c r="Y14" i="79"/>
  <c r="W14" i="79"/>
  <c r="AG13" i="79"/>
  <c r="AE13" i="79"/>
  <c r="AC13" i="79"/>
  <c r="AA13" i="79"/>
  <c r="Y13" i="79"/>
  <c r="W13" i="79"/>
  <c r="AG12" i="79"/>
  <c r="AE12" i="79"/>
  <c r="AC12" i="79"/>
  <c r="AH12" i="79" s="1"/>
  <c r="AA12" i="79"/>
  <c r="Y12" i="79"/>
  <c r="W12" i="79"/>
  <c r="AG11" i="79"/>
  <c r="AE11" i="79"/>
  <c r="AC11" i="79"/>
  <c r="AA11" i="79"/>
  <c r="Y11" i="79"/>
  <c r="W11" i="79"/>
  <c r="AG10" i="79"/>
  <c r="AE10" i="79"/>
  <c r="AC10" i="79"/>
  <c r="AH10" i="79" s="1"/>
  <c r="AA10" i="79"/>
  <c r="Y10" i="79"/>
  <c r="W10" i="79"/>
  <c r="AG9" i="79"/>
  <c r="AE9" i="79"/>
  <c r="AC9" i="79"/>
  <c r="AA9" i="79"/>
  <c r="Y9" i="79"/>
  <c r="W9" i="79"/>
  <c r="AG8" i="79"/>
  <c r="AE8" i="79"/>
  <c r="AC8" i="79"/>
  <c r="AH8" i="79" s="1"/>
  <c r="AA8" i="79"/>
  <c r="Y8" i="79"/>
  <c r="W8" i="79"/>
  <c r="AG7" i="79"/>
  <c r="AE7" i="79"/>
  <c r="AE79" i="79" s="1"/>
  <c r="AC7" i="79"/>
  <c r="AA7" i="79"/>
  <c r="Y7" i="79"/>
  <c r="W7" i="79"/>
  <c r="W79" i="79" s="1"/>
  <c r="C160" i="78"/>
  <c r="C158" i="78"/>
  <c r="B158" i="78"/>
  <c r="B157" i="78"/>
  <c r="B160" i="78" s="1"/>
  <c r="C147" i="78"/>
  <c r="I147" i="78" s="1"/>
  <c r="B147" i="78"/>
  <c r="P146" i="78"/>
  <c r="I146" i="78"/>
  <c r="I118" i="78" s="1"/>
  <c r="P145" i="78"/>
  <c r="I145" i="78"/>
  <c r="I144" i="78"/>
  <c r="I116" i="78" s="1"/>
  <c r="I143" i="78"/>
  <c r="I142" i="78"/>
  <c r="I141" i="78"/>
  <c r="I140" i="78"/>
  <c r="I139" i="78"/>
  <c r="I111" i="78" s="1"/>
  <c r="B132" i="78"/>
  <c r="C130" i="78"/>
  <c r="C132" i="78" s="1"/>
  <c r="B129" i="78"/>
  <c r="A119" i="78"/>
  <c r="I117" i="78"/>
  <c r="C117" i="78"/>
  <c r="C119" i="78" s="1"/>
  <c r="B117" i="78"/>
  <c r="B119" i="78" s="1"/>
  <c r="I115" i="78"/>
  <c r="I114" i="78"/>
  <c r="I113" i="78"/>
  <c r="I112" i="78"/>
  <c r="I103" i="78"/>
  <c r="H103" i="78"/>
  <c r="G103" i="78"/>
  <c r="L4" i="78"/>
  <c r="K3" i="78"/>
  <c r="J1" i="78"/>
  <c r="AH99" i="77"/>
  <c r="AH101" i="77" s="1"/>
  <c r="AH97" i="77"/>
  <c r="AD95" i="77"/>
  <c r="AC95" i="77"/>
  <c r="P95" i="77"/>
  <c r="G95" i="77"/>
  <c r="D95" i="77"/>
  <c r="C95" i="77"/>
  <c r="E95" i="77"/>
  <c r="C93" i="77"/>
  <c r="AC91" i="77"/>
  <c r="P91" i="77"/>
  <c r="G91" i="77"/>
  <c r="C91" i="77"/>
  <c r="AI89" i="77"/>
  <c r="AI88" i="77"/>
  <c r="AC74" i="77"/>
  <c r="AC97" i="77" s="1"/>
  <c r="P74" i="77"/>
  <c r="P97" i="77" s="1"/>
  <c r="P99" i="77" s="1"/>
  <c r="G74" i="77"/>
  <c r="C74" i="77"/>
  <c r="C97" i="77" s="1"/>
  <c r="AI72" i="77"/>
  <c r="N69" i="77"/>
  <c r="F53" i="77"/>
  <c r="N39" i="77"/>
  <c r="N34" i="77"/>
  <c r="O25" i="77"/>
  <c r="F24" i="77"/>
  <c r="N18" i="77"/>
  <c r="O9" i="77"/>
  <c r="F8" i="77"/>
  <c r="N87" i="77"/>
  <c r="N86" i="77"/>
  <c r="N85" i="77"/>
  <c r="N84" i="77"/>
  <c r="N83" i="77"/>
  <c r="N82" i="77"/>
  <c r="N81" i="77"/>
  <c r="N80" i="77"/>
  <c r="N79" i="77"/>
  <c r="N77" i="77"/>
  <c r="N76" i="77"/>
  <c r="N71" i="77"/>
  <c r="N70"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8" i="77"/>
  <c r="N37" i="77"/>
  <c r="N36" i="77"/>
  <c r="N35" i="77"/>
  <c r="N33" i="77"/>
  <c r="N32" i="77"/>
  <c r="N31" i="77"/>
  <c r="N30" i="77"/>
  <c r="N29" i="77"/>
  <c r="N28" i="77"/>
  <c r="N27" i="77"/>
  <c r="N26" i="77"/>
  <c r="N25" i="77"/>
  <c r="N24" i="77"/>
  <c r="N23" i="77"/>
  <c r="N22" i="77"/>
  <c r="N21" i="77"/>
  <c r="N20" i="77"/>
  <c r="N19" i="77"/>
  <c r="N17" i="77"/>
  <c r="N16" i="77"/>
  <c r="N15" i="77"/>
  <c r="N14" i="77"/>
  <c r="N13" i="77"/>
  <c r="N12" i="77"/>
  <c r="N11" i="77"/>
  <c r="N10" i="77"/>
  <c r="N9" i="77"/>
  <c r="N8" i="77"/>
  <c r="N7" i="77"/>
  <c r="N6" i="77"/>
  <c r="N5" i="77"/>
  <c r="N4" i="77"/>
  <c r="N3" i="77"/>
  <c r="N2" i="77"/>
  <c r="C100" i="75"/>
  <c r="C96" i="75"/>
  <c r="C79" i="75"/>
  <c r="C99" i="74"/>
  <c r="C95" i="74"/>
  <c r="C101" i="74" s="1"/>
  <c r="C79" i="74"/>
  <c r="C99" i="73"/>
  <c r="C97" i="73"/>
  <c r="C92" i="73"/>
  <c r="C91" i="73"/>
  <c r="C90" i="73"/>
  <c r="C89" i="73"/>
  <c r="C88" i="73"/>
  <c r="C87" i="73"/>
  <c r="C86" i="73"/>
  <c r="C85" i="73"/>
  <c r="C84" i="73"/>
  <c r="C83" i="73"/>
  <c r="C82" i="73"/>
  <c r="C81" i="73"/>
  <c r="C76" i="73"/>
  <c r="O71" i="77" s="1"/>
  <c r="C75" i="73"/>
  <c r="F70" i="77" s="1"/>
  <c r="C74" i="73"/>
  <c r="C73" i="73"/>
  <c r="C72" i="73"/>
  <c r="C71" i="73"/>
  <c r="C70" i="73"/>
  <c r="C69" i="73"/>
  <c r="C68" i="73"/>
  <c r="C67" i="73"/>
  <c r="C66" i="73"/>
  <c r="C65" i="73"/>
  <c r="C64" i="73"/>
  <c r="C63" i="73"/>
  <c r="C62" i="73"/>
  <c r="C61" i="73"/>
  <c r="C60" i="73"/>
  <c r="C59" i="73"/>
  <c r="C58" i="73"/>
  <c r="O53" i="77" s="1"/>
  <c r="C57" i="73"/>
  <c r="C56" i="73"/>
  <c r="C55" i="73"/>
  <c r="C54" i="73"/>
  <c r="F49" i="77" s="1"/>
  <c r="H49" i="77" s="1"/>
  <c r="I49" i="77" s="1"/>
  <c r="J49" i="77" s="1"/>
  <c r="C53" i="73"/>
  <c r="C52" i="73"/>
  <c r="C51" i="73"/>
  <c r="C50" i="73"/>
  <c r="C49" i="73"/>
  <c r="C48" i="73"/>
  <c r="C47" i="73"/>
  <c r="C46" i="73"/>
  <c r="C45" i="73"/>
  <c r="O40" i="77" s="1"/>
  <c r="C44" i="73"/>
  <c r="C43" i="73"/>
  <c r="C42" i="73"/>
  <c r="O37" i="77" s="1"/>
  <c r="C41" i="73"/>
  <c r="C40" i="73"/>
  <c r="C39" i="73"/>
  <c r="C38" i="73"/>
  <c r="F33" i="77" s="1"/>
  <c r="H33" i="77" s="1"/>
  <c r="I33" i="77" s="1"/>
  <c r="J33" i="77" s="1"/>
  <c r="C37" i="73"/>
  <c r="O32" i="77" s="1"/>
  <c r="C36" i="73"/>
  <c r="C35" i="73"/>
  <c r="C34" i="73"/>
  <c r="F29" i="77" s="1"/>
  <c r="C33" i="73"/>
  <c r="O28" i="77" s="1"/>
  <c r="C32" i="73"/>
  <c r="C31" i="73"/>
  <c r="C30" i="73"/>
  <c r="F25" i="77" s="1"/>
  <c r="C29" i="73"/>
  <c r="O24" i="77" s="1"/>
  <c r="C28" i="73"/>
  <c r="C27" i="73"/>
  <c r="C26" i="73"/>
  <c r="F21" i="77" s="1"/>
  <c r="C25" i="73"/>
  <c r="O20" i="77" s="1"/>
  <c r="C24" i="73"/>
  <c r="C23" i="73"/>
  <c r="C22" i="73"/>
  <c r="F17" i="77" s="1"/>
  <c r="H17" i="77" s="1"/>
  <c r="I17" i="77" s="1"/>
  <c r="J17" i="77" s="1"/>
  <c r="C21" i="73"/>
  <c r="O16" i="77" s="1"/>
  <c r="C20" i="73"/>
  <c r="C19" i="73"/>
  <c r="C18" i="73"/>
  <c r="F13" i="77" s="1"/>
  <c r="C17" i="73"/>
  <c r="O12" i="77" s="1"/>
  <c r="C16" i="73"/>
  <c r="C15" i="73"/>
  <c r="C14" i="73"/>
  <c r="F9" i="77" s="1"/>
  <c r="C13" i="73"/>
  <c r="O8" i="77" s="1"/>
  <c r="C12" i="73"/>
  <c r="C11" i="73"/>
  <c r="C10" i="73"/>
  <c r="F5" i="77" s="1"/>
  <c r="C9" i="73"/>
  <c r="O4" i="77" s="1"/>
  <c r="C8" i="73"/>
  <c r="C7" i="73"/>
  <c r="O2" i="77" s="1"/>
  <c r="F122" i="72"/>
  <c r="E122" i="72"/>
  <c r="F120" i="72"/>
  <c r="G120" i="72" s="1"/>
  <c r="E120" i="72"/>
  <c r="H117" i="72"/>
  <c r="H116" i="72"/>
  <c r="H115" i="72"/>
  <c r="F2" i="72"/>
  <c r="E1" i="72"/>
  <c r="I77" i="71"/>
  <c r="I76" i="71"/>
  <c r="I75" i="71"/>
  <c r="I74" i="71"/>
  <c r="I73" i="71"/>
  <c r="I72" i="71"/>
  <c r="I71" i="71"/>
  <c r="I70" i="71"/>
  <c r="I69" i="71"/>
  <c r="I68" i="71"/>
  <c r="I67" i="71"/>
  <c r="I66" i="71"/>
  <c r="I65" i="71"/>
  <c r="I64" i="71"/>
  <c r="I63" i="71"/>
  <c r="I62" i="71"/>
  <c r="I61" i="71"/>
  <c r="I60" i="71"/>
  <c r="I59" i="71"/>
  <c r="I58" i="71"/>
  <c r="I57" i="71"/>
  <c r="I56" i="71"/>
  <c r="I55" i="71"/>
  <c r="I54" i="71"/>
  <c r="I53" i="71"/>
  <c r="I52" i="71"/>
  <c r="I51" i="71"/>
  <c r="I50" i="71"/>
  <c r="I49" i="71"/>
  <c r="I48" i="71"/>
  <c r="I47" i="71"/>
  <c r="I46" i="71"/>
  <c r="I45" i="71"/>
  <c r="I44" i="71"/>
  <c r="I43" i="71"/>
  <c r="I42" i="71"/>
  <c r="I41" i="71"/>
  <c r="I40" i="71"/>
  <c r="I39" i="71"/>
  <c r="I38" i="71"/>
  <c r="I37" i="71"/>
  <c r="I36" i="71"/>
  <c r="I35" i="71"/>
  <c r="I34" i="71"/>
  <c r="I33" i="71"/>
  <c r="I32" i="71"/>
  <c r="I31" i="71"/>
  <c r="I30" i="71"/>
  <c r="I29" i="71"/>
  <c r="I28" i="71"/>
  <c r="I27" i="71"/>
  <c r="I26" i="71"/>
  <c r="I25" i="71"/>
  <c r="I24" i="71"/>
  <c r="I23" i="71"/>
  <c r="I22" i="71"/>
  <c r="I21" i="71"/>
  <c r="I20" i="71"/>
  <c r="I19" i="71"/>
  <c r="I18" i="71"/>
  <c r="I17" i="71"/>
  <c r="I16" i="71"/>
  <c r="I15" i="71"/>
  <c r="I14" i="71"/>
  <c r="I13" i="71"/>
  <c r="I12" i="71"/>
  <c r="I11" i="71"/>
  <c r="I10" i="71"/>
  <c r="I9" i="71"/>
  <c r="I8" i="71"/>
  <c r="I7" i="71"/>
  <c r="E2" i="71"/>
  <c r="E1" i="71"/>
  <c r="C79" i="70"/>
  <c r="D77" i="70"/>
  <c r="D76" i="70"/>
  <c r="K76" i="79" s="1"/>
  <c r="L76" i="79" s="1"/>
  <c r="D75" i="70"/>
  <c r="K75" i="79" s="1"/>
  <c r="L75" i="79" s="1"/>
  <c r="D74" i="70"/>
  <c r="K74" i="79" s="1"/>
  <c r="L74" i="79" s="1"/>
  <c r="D73" i="70"/>
  <c r="K73" i="79" s="1"/>
  <c r="L73" i="79" s="1"/>
  <c r="D72" i="70"/>
  <c r="K72" i="79" s="1"/>
  <c r="L72" i="79" s="1"/>
  <c r="D71" i="70"/>
  <c r="K71" i="79" s="1"/>
  <c r="L71" i="79" s="1"/>
  <c r="D70" i="70"/>
  <c r="K70" i="79" s="1"/>
  <c r="L70" i="79" s="1"/>
  <c r="D69" i="70"/>
  <c r="K69" i="79" s="1"/>
  <c r="L69" i="79" s="1"/>
  <c r="D68" i="70"/>
  <c r="K68" i="79" s="1"/>
  <c r="L68" i="79" s="1"/>
  <c r="D67" i="70"/>
  <c r="K67" i="79" s="1"/>
  <c r="L67" i="79" s="1"/>
  <c r="D66" i="70"/>
  <c r="K66" i="79" s="1"/>
  <c r="L66" i="79" s="1"/>
  <c r="D65" i="70"/>
  <c r="K65" i="79" s="1"/>
  <c r="L65" i="79" s="1"/>
  <c r="D64" i="70"/>
  <c r="K64" i="79" s="1"/>
  <c r="L64" i="79" s="1"/>
  <c r="D63" i="70"/>
  <c r="K63" i="79" s="1"/>
  <c r="L63" i="79" s="1"/>
  <c r="D62" i="70"/>
  <c r="K62" i="79" s="1"/>
  <c r="L62" i="79" s="1"/>
  <c r="D61" i="70"/>
  <c r="K61" i="79" s="1"/>
  <c r="L61" i="79" s="1"/>
  <c r="D60" i="70"/>
  <c r="K60" i="79" s="1"/>
  <c r="L60" i="79" s="1"/>
  <c r="D59" i="70"/>
  <c r="K59" i="79" s="1"/>
  <c r="L59" i="79" s="1"/>
  <c r="D58" i="70"/>
  <c r="K58" i="79" s="1"/>
  <c r="L58" i="79" s="1"/>
  <c r="D57" i="70"/>
  <c r="K57" i="79" s="1"/>
  <c r="L57" i="79" s="1"/>
  <c r="D56" i="70"/>
  <c r="K56" i="79" s="1"/>
  <c r="L56" i="79" s="1"/>
  <c r="D55" i="70"/>
  <c r="K55" i="79" s="1"/>
  <c r="L55" i="79" s="1"/>
  <c r="D54" i="70"/>
  <c r="K54" i="79" s="1"/>
  <c r="L54" i="79" s="1"/>
  <c r="D53" i="70"/>
  <c r="K53" i="79" s="1"/>
  <c r="L53" i="79" s="1"/>
  <c r="D52" i="70"/>
  <c r="K52" i="79" s="1"/>
  <c r="L52" i="79" s="1"/>
  <c r="D51" i="70"/>
  <c r="K51" i="79" s="1"/>
  <c r="L51" i="79" s="1"/>
  <c r="D50" i="70"/>
  <c r="K50" i="79" s="1"/>
  <c r="L50" i="79" s="1"/>
  <c r="D49" i="70"/>
  <c r="K49" i="79" s="1"/>
  <c r="L49" i="79" s="1"/>
  <c r="D48" i="70"/>
  <c r="K48" i="79" s="1"/>
  <c r="L48" i="79" s="1"/>
  <c r="D47" i="70"/>
  <c r="K47" i="79" s="1"/>
  <c r="L47" i="79" s="1"/>
  <c r="D46" i="70"/>
  <c r="K46" i="79" s="1"/>
  <c r="L46" i="79" s="1"/>
  <c r="D45" i="70"/>
  <c r="K45" i="79" s="1"/>
  <c r="L45" i="79" s="1"/>
  <c r="D44" i="70"/>
  <c r="K44" i="79" s="1"/>
  <c r="L44" i="79" s="1"/>
  <c r="D43" i="70"/>
  <c r="K43" i="79" s="1"/>
  <c r="L43" i="79" s="1"/>
  <c r="D42" i="70"/>
  <c r="K42" i="79" s="1"/>
  <c r="L42" i="79" s="1"/>
  <c r="D41" i="70"/>
  <c r="K41" i="79" s="1"/>
  <c r="L41" i="79" s="1"/>
  <c r="D40" i="70"/>
  <c r="K40" i="79" s="1"/>
  <c r="L40" i="79" s="1"/>
  <c r="D39" i="70"/>
  <c r="K39" i="79" s="1"/>
  <c r="L39" i="79" s="1"/>
  <c r="D38" i="70"/>
  <c r="K38" i="79" s="1"/>
  <c r="L38" i="79" s="1"/>
  <c r="D37" i="70"/>
  <c r="K37" i="79" s="1"/>
  <c r="L37" i="79" s="1"/>
  <c r="D36" i="70"/>
  <c r="K36" i="79" s="1"/>
  <c r="L36" i="79" s="1"/>
  <c r="D35" i="70"/>
  <c r="K35" i="79" s="1"/>
  <c r="L35" i="79" s="1"/>
  <c r="D34" i="70"/>
  <c r="K34" i="79" s="1"/>
  <c r="L34" i="79" s="1"/>
  <c r="D33" i="70"/>
  <c r="K33" i="79" s="1"/>
  <c r="L33" i="79" s="1"/>
  <c r="D32" i="70"/>
  <c r="K32" i="79" s="1"/>
  <c r="L32" i="79" s="1"/>
  <c r="D31" i="70"/>
  <c r="K31" i="79" s="1"/>
  <c r="L31" i="79" s="1"/>
  <c r="D30" i="70"/>
  <c r="K30" i="79" s="1"/>
  <c r="L30" i="79" s="1"/>
  <c r="D29" i="70"/>
  <c r="K29" i="79" s="1"/>
  <c r="L29" i="79" s="1"/>
  <c r="D28" i="70"/>
  <c r="K28" i="79" s="1"/>
  <c r="L28" i="79" s="1"/>
  <c r="D27" i="70"/>
  <c r="K27" i="79" s="1"/>
  <c r="L27" i="79" s="1"/>
  <c r="D26" i="70"/>
  <c r="K26" i="79" s="1"/>
  <c r="L26" i="79" s="1"/>
  <c r="D25" i="70"/>
  <c r="K25" i="79" s="1"/>
  <c r="L25" i="79" s="1"/>
  <c r="D24" i="70"/>
  <c r="K24" i="79" s="1"/>
  <c r="L24" i="79" s="1"/>
  <c r="D23" i="70"/>
  <c r="K23" i="79" s="1"/>
  <c r="L23" i="79" s="1"/>
  <c r="D22" i="70"/>
  <c r="K22" i="79" s="1"/>
  <c r="L22" i="79" s="1"/>
  <c r="D21" i="70"/>
  <c r="K21" i="79" s="1"/>
  <c r="L21" i="79" s="1"/>
  <c r="D20" i="70"/>
  <c r="K20" i="79" s="1"/>
  <c r="L20" i="79" s="1"/>
  <c r="D19" i="70"/>
  <c r="K19" i="79" s="1"/>
  <c r="L19" i="79" s="1"/>
  <c r="D18" i="70"/>
  <c r="K18" i="79" s="1"/>
  <c r="L18" i="79" s="1"/>
  <c r="D17" i="70"/>
  <c r="K17" i="79" s="1"/>
  <c r="L17" i="79" s="1"/>
  <c r="D16" i="70"/>
  <c r="K16" i="79" s="1"/>
  <c r="L16" i="79" s="1"/>
  <c r="D15" i="70"/>
  <c r="K15" i="79" s="1"/>
  <c r="L15" i="79" s="1"/>
  <c r="D14" i="70"/>
  <c r="K14" i="79" s="1"/>
  <c r="L14" i="79" s="1"/>
  <c r="D13" i="70"/>
  <c r="K13" i="79" s="1"/>
  <c r="L13" i="79" s="1"/>
  <c r="D12" i="70"/>
  <c r="K12" i="79" s="1"/>
  <c r="L12" i="79" s="1"/>
  <c r="D11" i="70"/>
  <c r="K11" i="79" s="1"/>
  <c r="L11" i="79" s="1"/>
  <c r="D10" i="70"/>
  <c r="K10" i="79" s="1"/>
  <c r="L10" i="79" s="1"/>
  <c r="D9" i="70"/>
  <c r="K9" i="79" s="1"/>
  <c r="L9" i="79" s="1"/>
  <c r="D8" i="70"/>
  <c r="K8" i="79" s="1"/>
  <c r="L8" i="79" s="1"/>
  <c r="D7" i="70"/>
  <c r="K7" i="79" s="1"/>
  <c r="D2" i="70"/>
  <c r="C5" i="69"/>
  <c r="D106" i="68"/>
  <c r="C106" i="68"/>
  <c r="M95" i="68"/>
  <c r="K95" i="68"/>
  <c r="N78" i="68"/>
  <c r="L78" i="68"/>
  <c r="AB119" i="67"/>
  <c r="AB118" i="67"/>
  <c r="AA117" i="67"/>
  <c r="D116" i="67"/>
  <c r="I111" i="67"/>
  <c r="H111" i="67"/>
  <c r="G111" i="67"/>
  <c r="D111" i="67"/>
  <c r="I110" i="67"/>
  <c r="H110" i="67"/>
  <c r="G110" i="67"/>
  <c r="A104" i="67"/>
  <c r="U102" i="67"/>
  <c r="G102" i="67"/>
  <c r="G102" i="78" s="1"/>
  <c r="G104" i="78" s="1"/>
  <c r="AC100" i="67"/>
  <c r="Y100" i="67"/>
  <c r="U100" i="67"/>
  <c r="T100" i="67"/>
  <c r="T102" i="67" s="1"/>
  <c r="S100" i="67"/>
  <c r="L100" i="67"/>
  <c r="I100" i="67"/>
  <c r="H100" i="67"/>
  <c r="G100" i="67"/>
  <c r="F100" i="67"/>
  <c r="E100" i="67"/>
  <c r="Y98" i="67"/>
  <c r="P100" i="67"/>
  <c r="K98" i="67"/>
  <c r="F98" i="67"/>
  <c r="L98" i="67"/>
  <c r="E98" i="79" s="1"/>
  <c r="E100" i="79" s="1"/>
  <c r="D100" i="67"/>
  <c r="C98" i="67"/>
  <c r="C100" i="67" s="1"/>
  <c r="AC96" i="67"/>
  <c r="U96" i="67"/>
  <c r="T96" i="67"/>
  <c r="S96" i="67"/>
  <c r="I96" i="67"/>
  <c r="H96" i="67"/>
  <c r="G96" i="67"/>
  <c r="C96" i="67"/>
  <c r="J94" i="67"/>
  <c r="K94" i="67"/>
  <c r="W93" i="67"/>
  <c r="J93" i="67"/>
  <c r="F93" i="67"/>
  <c r="L93" i="67"/>
  <c r="Y93" i="67" s="1"/>
  <c r="K93" i="67"/>
  <c r="X93" i="67" s="1"/>
  <c r="J92" i="67"/>
  <c r="L92" i="67"/>
  <c r="Y91" i="67"/>
  <c r="W91" i="67"/>
  <c r="J91" i="67"/>
  <c r="C91" i="79" s="1"/>
  <c r="F91" i="67"/>
  <c r="L91" i="67"/>
  <c r="E91" i="79" s="1"/>
  <c r="K91" i="67"/>
  <c r="X90" i="67"/>
  <c r="L90" i="67"/>
  <c r="J90" i="67"/>
  <c r="F90" i="67"/>
  <c r="K90" i="67"/>
  <c r="D90" i="79" s="1"/>
  <c r="Y89" i="67"/>
  <c r="W89" i="67"/>
  <c r="J89" i="67"/>
  <c r="C89" i="79" s="1"/>
  <c r="L89" i="67"/>
  <c r="E89" i="79" s="1"/>
  <c r="F89" i="67"/>
  <c r="L88" i="67"/>
  <c r="J88" i="67"/>
  <c r="F88" i="67"/>
  <c r="Y87" i="67"/>
  <c r="W87" i="67"/>
  <c r="K87" i="67"/>
  <c r="J87" i="67"/>
  <c r="C87" i="79" s="1"/>
  <c r="L87" i="67"/>
  <c r="E87" i="79" s="1"/>
  <c r="F87" i="67"/>
  <c r="J86" i="67"/>
  <c r="F86" i="67"/>
  <c r="K86" i="67"/>
  <c r="W85" i="67"/>
  <c r="J85" i="67"/>
  <c r="C85" i="79" s="1"/>
  <c r="F85" i="67"/>
  <c r="L85" i="67"/>
  <c r="K85" i="67"/>
  <c r="J84" i="67"/>
  <c r="Y83" i="67"/>
  <c r="W83" i="67"/>
  <c r="J83" i="67"/>
  <c r="C83" i="79" s="1"/>
  <c r="F83" i="67"/>
  <c r="L83" i="67"/>
  <c r="E83" i="79" s="1"/>
  <c r="D104" i="67"/>
  <c r="X82" i="67"/>
  <c r="L82" i="67"/>
  <c r="J82" i="67"/>
  <c r="K82" i="67"/>
  <c r="D82" i="79" s="1"/>
  <c r="W81" i="67"/>
  <c r="J81" i="67"/>
  <c r="C81" i="79" s="1"/>
  <c r="AC79" i="67"/>
  <c r="AC102" i="67" s="1"/>
  <c r="U79" i="67"/>
  <c r="T79" i="67"/>
  <c r="S79" i="67"/>
  <c r="S102" i="67" s="1"/>
  <c r="I79" i="67"/>
  <c r="I102" i="67" s="1"/>
  <c r="H79" i="67"/>
  <c r="G79" i="67"/>
  <c r="E79" i="67"/>
  <c r="D79" i="67"/>
  <c r="X77" i="67"/>
  <c r="L77" i="67"/>
  <c r="K77" i="67"/>
  <c r="J77" i="67"/>
  <c r="J111" i="67" s="1"/>
  <c r="C77" i="67"/>
  <c r="X76" i="67"/>
  <c r="L76" i="67"/>
  <c r="K76" i="67"/>
  <c r="D76" i="79" s="1"/>
  <c r="J76" i="67"/>
  <c r="F76" i="67"/>
  <c r="X75" i="67"/>
  <c r="L75" i="67"/>
  <c r="K75" i="67"/>
  <c r="D75" i="79" s="1"/>
  <c r="J75" i="67"/>
  <c r="F75" i="67"/>
  <c r="X74" i="67"/>
  <c r="L74" i="67"/>
  <c r="K74" i="67"/>
  <c r="D74" i="79" s="1"/>
  <c r="J74" i="67"/>
  <c r="F74" i="67"/>
  <c r="X73" i="67"/>
  <c r="L73" i="67"/>
  <c r="K73" i="67"/>
  <c r="D73" i="79" s="1"/>
  <c r="J73" i="67"/>
  <c r="F73" i="67"/>
  <c r="X72" i="67"/>
  <c r="L72" i="67"/>
  <c r="K72" i="67"/>
  <c r="D72" i="79" s="1"/>
  <c r="J72" i="67"/>
  <c r="F72" i="67"/>
  <c r="X71" i="67"/>
  <c r="L71" i="67"/>
  <c r="K71" i="67"/>
  <c r="D71" i="79" s="1"/>
  <c r="J71" i="67"/>
  <c r="F71" i="67"/>
  <c r="X70" i="67"/>
  <c r="L70" i="67"/>
  <c r="K70" i="67"/>
  <c r="D70" i="79" s="1"/>
  <c r="J70" i="67"/>
  <c r="F70" i="67"/>
  <c r="X69" i="67"/>
  <c r="L69" i="67"/>
  <c r="K69" i="67"/>
  <c r="D69" i="79" s="1"/>
  <c r="J69" i="67"/>
  <c r="F69" i="67"/>
  <c r="X68" i="67"/>
  <c r="L68" i="67"/>
  <c r="K68" i="67"/>
  <c r="D68" i="79" s="1"/>
  <c r="J68" i="67"/>
  <c r="F68" i="67"/>
  <c r="X67" i="67"/>
  <c r="L67" i="67"/>
  <c r="K67" i="67"/>
  <c r="D67" i="79" s="1"/>
  <c r="J67" i="67"/>
  <c r="F67" i="67"/>
  <c r="X66" i="67"/>
  <c r="L66" i="67"/>
  <c r="K66" i="67"/>
  <c r="D66" i="79" s="1"/>
  <c r="J66" i="67"/>
  <c r="F66" i="67"/>
  <c r="X65" i="67"/>
  <c r="L65" i="67"/>
  <c r="K65" i="67"/>
  <c r="D65" i="79" s="1"/>
  <c r="J65" i="67"/>
  <c r="F65" i="67"/>
  <c r="X64" i="67"/>
  <c r="L64" i="67"/>
  <c r="K64" i="67"/>
  <c r="D64" i="79" s="1"/>
  <c r="J64" i="67"/>
  <c r="F64" i="67"/>
  <c r="X63" i="67"/>
  <c r="L63" i="67"/>
  <c r="K63" i="67"/>
  <c r="D63" i="79" s="1"/>
  <c r="J63" i="67"/>
  <c r="F63" i="67"/>
  <c r="X62" i="67"/>
  <c r="L62" i="67"/>
  <c r="K62" i="67"/>
  <c r="D62" i="79" s="1"/>
  <c r="J62" i="67"/>
  <c r="F62" i="67"/>
  <c r="X61" i="67"/>
  <c r="L61" i="67"/>
  <c r="K61" i="67"/>
  <c r="D61" i="79" s="1"/>
  <c r="J61" i="67"/>
  <c r="F61" i="67"/>
  <c r="L60" i="67"/>
  <c r="E60" i="79" s="1"/>
  <c r="K60" i="67"/>
  <c r="F60" i="67"/>
  <c r="X59" i="67"/>
  <c r="L59" i="67"/>
  <c r="K59" i="67"/>
  <c r="D59" i="79" s="1"/>
  <c r="F59" i="67"/>
  <c r="Y58" i="67"/>
  <c r="L58" i="67"/>
  <c r="E58" i="79" s="1"/>
  <c r="K58" i="67"/>
  <c r="D58" i="79" s="1"/>
  <c r="L57" i="67"/>
  <c r="E57" i="79" s="1"/>
  <c r="K57" i="67"/>
  <c r="D57" i="79" s="1"/>
  <c r="J57" i="67"/>
  <c r="F57" i="67"/>
  <c r="L56" i="67"/>
  <c r="E56" i="79" s="1"/>
  <c r="K56" i="67"/>
  <c r="F56" i="67"/>
  <c r="X55" i="67"/>
  <c r="L55" i="67"/>
  <c r="K55" i="67"/>
  <c r="D55" i="79" s="1"/>
  <c r="F55" i="67"/>
  <c r="Y54" i="67"/>
  <c r="L54" i="67"/>
  <c r="E54" i="79" s="1"/>
  <c r="K54" i="67"/>
  <c r="D54" i="79" s="1"/>
  <c r="L53" i="67"/>
  <c r="E53" i="79" s="1"/>
  <c r="K53" i="67"/>
  <c r="D53" i="79" s="1"/>
  <c r="J53" i="67"/>
  <c r="F53" i="67"/>
  <c r="L52" i="67"/>
  <c r="E52" i="79" s="1"/>
  <c r="K52" i="67"/>
  <c r="F52" i="67"/>
  <c r="X51" i="67"/>
  <c r="L51" i="67"/>
  <c r="K51" i="67"/>
  <c r="D51" i="79" s="1"/>
  <c r="F51" i="67"/>
  <c r="Y50" i="67"/>
  <c r="L50" i="67"/>
  <c r="E50" i="79" s="1"/>
  <c r="K50" i="67"/>
  <c r="D50" i="79" s="1"/>
  <c r="L49" i="67"/>
  <c r="E49" i="79" s="1"/>
  <c r="K49" i="67"/>
  <c r="D49" i="79" s="1"/>
  <c r="J49" i="67"/>
  <c r="F49" i="67"/>
  <c r="L48" i="67"/>
  <c r="E48" i="79" s="1"/>
  <c r="K48" i="67"/>
  <c r="F48" i="67"/>
  <c r="X47" i="67"/>
  <c r="L47" i="67"/>
  <c r="K47" i="67"/>
  <c r="D47" i="79" s="1"/>
  <c r="F47" i="67"/>
  <c r="Y46" i="67"/>
  <c r="L46" i="67"/>
  <c r="E46" i="79" s="1"/>
  <c r="K46" i="67"/>
  <c r="D46" i="79" s="1"/>
  <c r="L45" i="67"/>
  <c r="E45" i="79" s="1"/>
  <c r="K45" i="67"/>
  <c r="D45" i="79" s="1"/>
  <c r="J45" i="67"/>
  <c r="F45" i="67"/>
  <c r="L44" i="67"/>
  <c r="E44" i="79" s="1"/>
  <c r="K44" i="67"/>
  <c r="F44" i="67"/>
  <c r="X43" i="67"/>
  <c r="L43" i="67"/>
  <c r="K43" i="67"/>
  <c r="D43" i="79" s="1"/>
  <c r="F43" i="67"/>
  <c r="Y42" i="67"/>
  <c r="L42" i="67"/>
  <c r="E42" i="79" s="1"/>
  <c r="K42" i="67"/>
  <c r="D42" i="79" s="1"/>
  <c r="L41" i="67"/>
  <c r="E41" i="79" s="1"/>
  <c r="K41" i="67"/>
  <c r="D41" i="79" s="1"/>
  <c r="J41" i="67"/>
  <c r="F41" i="67"/>
  <c r="L40" i="67"/>
  <c r="E40" i="79" s="1"/>
  <c r="K40" i="67"/>
  <c r="F40" i="67"/>
  <c r="X39" i="67"/>
  <c r="L39" i="67"/>
  <c r="K39" i="67"/>
  <c r="D39" i="79" s="1"/>
  <c r="F39" i="67"/>
  <c r="Y38" i="67"/>
  <c r="L38" i="67"/>
  <c r="E38" i="79" s="1"/>
  <c r="K38" i="67"/>
  <c r="D38" i="79" s="1"/>
  <c r="L37" i="67"/>
  <c r="E37" i="79" s="1"/>
  <c r="K37" i="67"/>
  <c r="D37" i="79" s="1"/>
  <c r="J37" i="67"/>
  <c r="F37" i="67"/>
  <c r="L36" i="67"/>
  <c r="E36" i="79" s="1"/>
  <c r="K36" i="67"/>
  <c r="F36" i="67"/>
  <c r="X35" i="67"/>
  <c r="L35" i="67"/>
  <c r="K35" i="67"/>
  <c r="D35" i="79" s="1"/>
  <c r="F35" i="67"/>
  <c r="Y34" i="67"/>
  <c r="L34" i="67"/>
  <c r="E34" i="79" s="1"/>
  <c r="K34" i="67"/>
  <c r="D34" i="79" s="1"/>
  <c r="L33" i="67"/>
  <c r="E33" i="79" s="1"/>
  <c r="K33" i="67"/>
  <c r="D33" i="79" s="1"/>
  <c r="J33" i="67"/>
  <c r="F33" i="67"/>
  <c r="L32" i="67"/>
  <c r="E32" i="79" s="1"/>
  <c r="K32" i="67"/>
  <c r="F32" i="67"/>
  <c r="X31" i="67"/>
  <c r="L31" i="67"/>
  <c r="K31" i="67"/>
  <c r="D31" i="79" s="1"/>
  <c r="F31" i="67"/>
  <c r="Y30" i="67"/>
  <c r="L30" i="67"/>
  <c r="E30" i="79" s="1"/>
  <c r="K30" i="67"/>
  <c r="D30" i="79" s="1"/>
  <c r="L29" i="67"/>
  <c r="E29" i="79" s="1"/>
  <c r="K29" i="67"/>
  <c r="D29" i="79" s="1"/>
  <c r="J29" i="67"/>
  <c r="F29" i="67"/>
  <c r="L28" i="67"/>
  <c r="E28" i="79" s="1"/>
  <c r="K28" i="67"/>
  <c r="F28" i="67"/>
  <c r="X27" i="67"/>
  <c r="L27" i="67"/>
  <c r="K27" i="67"/>
  <c r="D27" i="79" s="1"/>
  <c r="F27" i="67"/>
  <c r="Y26" i="67"/>
  <c r="L26" i="67"/>
  <c r="E26" i="79" s="1"/>
  <c r="K26" i="67"/>
  <c r="D26" i="79" s="1"/>
  <c r="L25" i="67"/>
  <c r="E25" i="79" s="1"/>
  <c r="K25" i="67"/>
  <c r="D25" i="79" s="1"/>
  <c r="J25" i="67"/>
  <c r="F25" i="67"/>
  <c r="L24" i="67"/>
  <c r="E24" i="79" s="1"/>
  <c r="K24" i="67"/>
  <c r="F24" i="67"/>
  <c r="X23" i="67"/>
  <c r="L23" i="67"/>
  <c r="K23" i="67"/>
  <c r="D23" i="79" s="1"/>
  <c r="F23" i="67"/>
  <c r="Y22" i="67"/>
  <c r="L22" i="67"/>
  <c r="E22" i="79" s="1"/>
  <c r="K22" i="67"/>
  <c r="D22" i="79" s="1"/>
  <c r="L21" i="67"/>
  <c r="E21" i="79" s="1"/>
  <c r="K21" i="67"/>
  <c r="D21" i="79" s="1"/>
  <c r="J21" i="67"/>
  <c r="F21" i="67"/>
  <c r="L20" i="67"/>
  <c r="E20" i="79" s="1"/>
  <c r="K20" i="67"/>
  <c r="F20" i="67"/>
  <c r="X19" i="67"/>
  <c r="L19" i="67"/>
  <c r="K19" i="67"/>
  <c r="D19" i="79" s="1"/>
  <c r="F19" i="67"/>
  <c r="Y18" i="67"/>
  <c r="L18" i="67"/>
  <c r="E18" i="79" s="1"/>
  <c r="K18" i="67"/>
  <c r="D18" i="79" s="1"/>
  <c r="L17" i="67"/>
  <c r="E17" i="79" s="1"/>
  <c r="K17" i="67"/>
  <c r="D17" i="79" s="1"/>
  <c r="J17" i="67"/>
  <c r="F17" i="67"/>
  <c r="L16" i="67"/>
  <c r="K16" i="67"/>
  <c r="X15" i="67"/>
  <c r="L15" i="67"/>
  <c r="K15" i="67"/>
  <c r="D15" i="79" s="1"/>
  <c r="F15" i="67"/>
  <c r="Y14" i="67"/>
  <c r="L14" i="67"/>
  <c r="E14" i="79" s="1"/>
  <c r="K14" i="67"/>
  <c r="D14" i="79" s="1"/>
  <c r="L13" i="67"/>
  <c r="E13" i="79" s="1"/>
  <c r="K13" i="67"/>
  <c r="D13" i="79" s="1"/>
  <c r="J13" i="67"/>
  <c r="F13" i="67"/>
  <c r="L12" i="67"/>
  <c r="E12" i="79" s="1"/>
  <c r="K12" i="67"/>
  <c r="F12" i="67"/>
  <c r="X11" i="67"/>
  <c r="L11" i="67"/>
  <c r="K11" i="67"/>
  <c r="D11" i="79" s="1"/>
  <c r="F11" i="67"/>
  <c r="Y10" i="67"/>
  <c r="L10" i="67"/>
  <c r="E10" i="79" s="1"/>
  <c r="K10" i="67"/>
  <c r="D10" i="79" s="1"/>
  <c r="L9" i="67"/>
  <c r="E9" i="79" s="1"/>
  <c r="K9" i="67"/>
  <c r="D9" i="79" s="1"/>
  <c r="J9" i="67"/>
  <c r="F9" i="67"/>
  <c r="L8" i="67"/>
  <c r="E8" i="79" s="1"/>
  <c r="K8" i="67"/>
  <c r="F8" i="67"/>
  <c r="X7" i="67"/>
  <c r="L7" i="67"/>
  <c r="K7" i="67"/>
  <c r="D7" i="79" s="1"/>
  <c r="F7" i="67"/>
  <c r="AD5" i="67"/>
  <c r="E4" i="67"/>
  <c r="E117" i="67" s="1"/>
  <c r="AD3" i="67"/>
  <c r="D3" i="67"/>
  <c r="AD4" i="67" s="1"/>
  <c r="C1" i="67"/>
  <c r="BE93" i="66"/>
  <c r="AZ93" i="66"/>
  <c r="AW93" i="66"/>
  <c r="W93" i="66"/>
  <c r="AY91" i="66"/>
  <c r="D93" i="72" s="1"/>
  <c r="F93" i="72" s="1"/>
  <c r="AX91" i="66"/>
  <c r="AV91" i="66"/>
  <c r="AU91" i="66"/>
  <c r="C91" i="66"/>
  <c r="AD91" i="66" s="1"/>
  <c r="AY90" i="66"/>
  <c r="D77" i="72" s="1"/>
  <c r="F77" i="72" s="1"/>
  <c r="AV90" i="66"/>
  <c r="AU90" i="66"/>
  <c r="D90" i="66"/>
  <c r="AP90" i="66" s="1"/>
  <c r="D77" i="71" s="1"/>
  <c r="BH87" i="66"/>
  <c r="BH93" i="66" s="1"/>
  <c r="BE87" i="66"/>
  <c r="BD87" i="66"/>
  <c r="BD93" i="66" s="1"/>
  <c r="BB87" i="66"/>
  <c r="BB93" i="66" s="1"/>
  <c r="AZ87" i="66"/>
  <c r="AW87" i="66"/>
  <c r="AR87" i="66"/>
  <c r="AR93" i="66" s="1"/>
  <c r="AQ87" i="66"/>
  <c r="AQ93" i="66" s="1"/>
  <c r="AN87" i="66"/>
  <c r="AN93" i="66" s="1"/>
  <c r="AK87" i="66"/>
  <c r="AK93" i="66" s="1"/>
  <c r="AJ87" i="66"/>
  <c r="AJ93" i="66" s="1"/>
  <c r="W87" i="66"/>
  <c r="J87" i="66"/>
  <c r="J93" i="66" s="1"/>
  <c r="I87" i="66"/>
  <c r="I93" i="66" s="1"/>
  <c r="AV85" i="66"/>
  <c r="AY85" i="66" s="1"/>
  <c r="D18" i="72" s="1"/>
  <c r="F18" i="72" s="1"/>
  <c r="AU85" i="66"/>
  <c r="D85" i="66"/>
  <c r="H85" i="66" s="1"/>
  <c r="AV84" i="66"/>
  <c r="AY84" i="66" s="1"/>
  <c r="D76" i="72" s="1"/>
  <c r="F76" i="72" s="1"/>
  <c r="AU84" i="66"/>
  <c r="AX84" i="66" s="1"/>
  <c r="C76" i="72" s="1"/>
  <c r="D84" i="66"/>
  <c r="AP84" i="66" s="1"/>
  <c r="D76" i="71" s="1"/>
  <c r="F76" i="71" s="1"/>
  <c r="C84" i="66"/>
  <c r="G84" i="66" s="1"/>
  <c r="C75" i="68" s="1"/>
  <c r="R75" i="68" s="1"/>
  <c r="AV83" i="66"/>
  <c r="AY83" i="66" s="1"/>
  <c r="D92" i="72" s="1"/>
  <c r="F92" i="72" s="1"/>
  <c r="AU83" i="66"/>
  <c r="AX83" i="66" s="1"/>
  <c r="C92" i="72" s="1"/>
  <c r="C83" i="66"/>
  <c r="AO83" i="66" s="1"/>
  <c r="C92" i="71" s="1"/>
  <c r="AV82" i="66"/>
  <c r="AY82" i="66" s="1"/>
  <c r="D91" i="72" s="1"/>
  <c r="AU82" i="66"/>
  <c r="AX82" i="66" s="1"/>
  <c r="C91" i="72" s="1"/>
  <c r="C82" i="66"/>
  <c r="G82" i="66" s="1"/>
  <c r="AU81" i="66"/>
  <c r="AX81" i="66" s="1"/>
  <c r="C75" i="72" s="1"/>
  <c r="AV81" i="66"/>
  <c r="AY81" i="66" s="1"/>
  <c r="D75" i="72" s="1"/>
  <c r="D81" i="66"/>
  <c r="AV80" i="66"/>
  <c r="AY80" i="66" s="1"/>
  <c r="D74" i="72" s="1"/>
  <c r="AU80" i="66"/>
  <c r="AX80" i="66" s="1"/>
  <c r="C74" i="72" s="1"/>
  <c r="D80" i="66"/>
  <c r="AX79" i="66"/>
  <c r="C97" i="72" s="1"/>
  <c r="C99" i="72" s="1"/>
  <c r="AV79" i="66"/>
  <c r="AU79" i="66"/>
  <c r="D79" i="66"/>
  <c r="AV78" i="66"/>
  <c r="AY78" i="66" s="1"/>
  <c r="D73" i="72" s="1"/>
  <c r="F73" i="72" s="1"/>
  <c r="AU78" i="66"/>
  <c r="AX78" i="66" s="1"/>
  <c r="C73" i="72" s="1"/>
  <c r="D78" i="66"/>
  <c r="AP78" i="66" s="1"/>
  <c r="D73" i="71" s="1"/>
  <c r="AV77" i="66"/>
  <c r="AY77" i="66" s="1"/>
  <c r="D72" i="72" s="1"/>
  <c r="F72" i="72" s="1"/>
  <c r="AU77" i="66"/>
  <c r="AX77" i="66" s="1"/>
  <c r="C72" i="72" s="1"/>
  <c r="D77" i="66"/>
  <c r="AP77" i="66" s="1"/>
  <c r="D72" i="71" s="1"/>
  <c r="F72" i="71" s="1"/>
  <c r="C77" i="66"/>
  <c r="G77" i="66" s="1"/>
  <c r="C71" i="68" s="1"/>
  <c r="R71" i="68" s="1"/>
  <c r="AU76" i="66"/>
  <c r="AV76" i="66"/>
  <c r="AY76" i="66" s="1"/>
  <c r="D71" i="72" s="1"/>
  <c r="D76" i="66"/>
  <c r="AG76" i="66" s="1"/>
  <c r="AX75" i="66"/>
  <c r="C70" i="72" s="1"/>
  <c r="AV75" i="66"/>
  <c r="AY75" i="66" s="1"/>
  <c r="D70" i="72" s="1"/>
  <c r="AU75" i="66"/>
  <c r="D75" i="66"/>
  <c r="AV74" i="66"/>
  <c r="AY74" i="66" s="1"/>
  <c r="D69" i="72" s="1"/>
  <c r="F69" i="72" s="1"/>
  <c r="AU74" i="66"/>
  <c r="AX74" i="66" s="1"/>
  <c r="C69" i="72" s="1"/>
  <c r="D74" i="66"/>
  <c r="AP74" i="66" s="1"/>
  <c r="D69" i="71" s="1"/>
  <c r="AV73" i="66"/>
  <c r="AY73" i="66" s="1"/>
  <c r="D68" i="72" s="1"/>
  <c r="F68" i="72" s="1"/>
  <c r="AU73" i="66"/>
  <c r="AX73" i="66" s="1"/>
  <c r="C68" i="72" s="1"/>
  <c r="D73" i="66"/>
  <c r="AP73" i="66" s="1"/>
  <c r="D68" i="71" s="1"/>
  <c r="F68" i="71" s="1"/>
  <c r="C73" i="66"/>
  <c r="G73" i="66" s="1"/>
  <c r="AU72" i="66"/>
  <c r="AV72" i="66"/>
  <c r="AY72" i="66" s="1"/>
  <c r="D67" i="72" s="1"/>
  <c r="D72" i="66"/>
  <c r="AG72" i="66" s="1"/>
  <c r="AX71" i="66"/>
  <c r="C66" i="72" s="1"/>
  <c r="AV71" i="66"/>
  <c r="AY71" i="66" s="1"/>
  <c r="D66" i="72" s="1"/>
  <c r="AU71" i="66"/>
  <c r="D71" i="66"/>
  <c r="AV70" i="66"/>
  <c r="AY70" i="66" s="1"/>
  <c r="D65" i="72" s="1"/>
  <c r="F65" i="72" s="1"/>
  <c r="AU70" i="66"/>
  <c r="AX70" i="66" s="1"/>
  <c r="C65" i="72" s="1"/>
  <c r="D70" i="66"/>
  <c r="AV69" i="66"/>
  <c r="AY69" i="66" s="1"/>
  <c r="D64" i="72" s="1"/>
  <c r="F64" i="72" s="1"/>
  <c r="AU69" i="66"/>
  <c r="D69" i="66"/>
  <c r="AP69" i="66" s="1"/>
  <c r="D64" i="71" s="1"/>
  <c r="F64" i="71" s="1"/>
  <c r="C69" i="66"/>
  <c r="G69" i="66" s="1"/>
  <c r="C63" i="68" s="1"/>
  <c r="R63" i="68" s="1"/>
  <c r="AU68" i="66"/>
  <c r="AV68" i="66"/>
  <c r="AY68" i="66" s="1"/>
  <c r="D63" i="72" s="1"/>
  <c r="D68" i="66"/>
  <c r="AG68" i="66" s="1"/>
  <c r="AU67" i="66"/>
  <c r="AX67" i="66" s="1"/>
  <c r="C90" i="72" s="1"/>
  <c r="AV67" i="66"/>
  <c r="D67" i="66"/>
  <c r="BG67" i="66" s="1"/>
  <c r="C90" i="70" s="1"/>
  <c r="D90" i="70" s="1"/>
  <c r="AX66" i="66"/>
  <c r="C62" i="72" s="1"/>
  <c r="AV66" i="66"/>
  <c r="AY66" i="66" s="1"/>
  <c r="D62" i="72" s="1"/>
  <c r="AU66" i="66"/>
  <c r="D66" i="66"/>
  <c r="AV65" i="66"/>
  <c r="AY65" i="66" s="1"/>
  <c r="D61" i="72" s="1"/>
  <c r="F61" i="72" s="1"/>
  <c r="AU65" i="66"/>
  <c r="AX65" i="66" s="1"/>
  <c r="C61" i="72" s="1"/>
  <c r="D65" i="66"/>
  <c r="AP65" i="66" s="1"/>
  <c r="D61" i="71" s="1"/>
  <c r="AV64" i="66"/>
  <c r="AY64" i="66" s="1"/>
  <c r="D60" i="72" s="1"/>
  <c r="F60" i="72" s="1"/>
  <c r="AU64" i="66"/>
  <c r="AX64" i="66" s="1"/>
  <c r="C60" i="72" s="1"/>
  <c r="D64" i="66"/>
  <c r="H64" i="66" s="1"/>
  <c r="AV63" i="66"/>
  <c r="AY63" i="66" s="1"/>
  <c r="D89" i="72" s="1"/>
  <c r="AU63" i="66"/>
  <c r="AX63" i="66" s="1"/>
  <c r="C89" i="72" s="1"/>
  <c r="C63" i="66"/>
  <c r="G63" i="66" s="1"/>
  <c r="AU62" i="66"/>
  <c r="AX62" i="66" s="1"/>
  <c r="C59" i="72" s="1"/>
  <c r="AV62" i="66"/>
  <c r="AY62" i="66" s="1"/>
  <c r="D59" i="72" s="1"/>
  <c r="AV61" i="66"/>
  <c r="AY61" i="66" s="1"/>
  <c r="D58" i="72" s="1"/>
  <c r="AU61" i="66"/>
  <c r="D61" i="66"/>
  <c r="AG61" i="66" s="1"/>
  <c r="AX60" i="66"/>
  <c r="C57" i="72" s="1"/>
  <c r="AV60" i="66"/>
  <c r="AY60" i="66" s="1"/>
  <c r="D57" i="72" s="1"/>
  <c r="F57" i="72" s="1"/>
  <c r="AU60" i="66"/>
  <c r="D60" i="66"/>
  <c r="H60" i="66" s="1"/>
  <c r="AV59" i="66"/>
  <c r="AY59" i="66" s="1"/>
  <c r="D56" i="72" s="1"/>
  <c r="F56" i="72" s="1"/>
  <c r="AU59" i="66"/>
  <c r="D59" i="66"/>
  <c r="H59" i="66" s="1"/>
  <c r="AU58" i="66"/>
  <c r="AV58" i="66"/>
  <c r="AY58" i="66" s="1"/>
  <c r="D55" i="72" s="1"/>
  <c r="D58" i="66"/>
  <c r="AY57" i="66"/>
  <c r="D54" i="72" s="1"/>
  <c r="AU57" i="66"/>
  <c r="AX57" i="66" s="1"/>
  <c r="C54" i="72" s="1"/>
  <c r="AV57" i="66"/>
  <c r="D57" i="66"/>
  <c r="AG57" i="66" s="1"/>
  <c r="AX56" i="66"/>
  <c r="C53" i="72" s="1"/>
  <c r="AV56" i="66"/>
  <c r="AY56" i="66" s="1"/>
  <c r="D53" i="72" s="1"/>
  <c r="F53" i="72" s="1"/>
  <c r="AU56" i="66"/>
  <c r="D56" i="66"/>
  <c r="AG56" i="66" s="1"/>
  <c r="AV55" i="66"/>
  <c r="AY55" i="66" s="1"/>
  <c r="D52" i="72" s="1"/>
  <c r="F52" i="72" s="1"/>
  <c r="AU55" i="66"/>
  <c r="AX55" i="66" s="1"/>
  <c r="C52" i="72" s="1"/>
  <c r="D55" i="66"/>
  <c r="H55" i="66" s="1"/>
  <c r="AU54" i="66"/>
  <c r="AX54" i="66" s="1"/>
  <c r="C51" i="72" s="1"/>
  <c r="AV54" i="66"/>
  <c r="AY54" i="66" s="1"/>
  <c r="D51" i="72" s="1"/>
  <c r="D54" i="66"/>
  <c r="AC54" i="66" s="1"/>
  <c r="AY53" i="66"/>
  <c r="D50" i="72" s="1"/>
  <c r="AV53" i="66"/>
  <c r="AU53" i="66"/>
  <c r="AX53" i="66" s="1"/>
  <c r="C50" i="72" s="1"/>
  <c r="D53" i="66"/>
  <c r="AG53" i="66" s="1"/>
  <c r="AV52" i="66"/>
  <c r="AY52" i="66" s="1"/>
  <c r="D49" i="72" s="1"/>
  <c r="F49" i="72" s="1"/>
  <c r="AU52" i="66"/>
  <c r="D52" i="66"/>
  <c r="H52" i="66" s="1"/>
  <c r="AV51" i="66"/>
  <c r="AY51" i="66" s="1"/>
  <c r="D48" i="72" s="1"/>
  <c r="F48" i="72" s="1"/>
  <c r="AU51" i="66"/>
  <c r="AX51" i="66" s="1"/>
  <c r="C48" i="72" s="1"/>
  <c r="D51" i="66"/>
  <c r="AP51" i="66" s="1"/>
  <c r="D48" i="71" s="1"/>
  <c r="F48" i="71" s="1"/>
  <c r="AU50" i="66"/>
  <c r="AV50" i="66"/>
  <c r="AY50" i="66" s="1"/>
  <c r="D47" i="72" s="1"/>
  <c r="D50" i="66"/>
  <c r="AY49" i="66"/>
  <c r="D46" i="72" s="1"/>
  <c r="AU49" i="66"/>
  <c r="AX49" i="66" s="1"/>
  <c r="C46" i="72" s="1"/>
  <c r="AV49" i="66"/>
  <c r="D49" i="66"/>
  <c r="AG49" i="66" s="1"/>
  <c r="AX48" i="66"/>
  <c r="C45" i="72" s="1"/>
  <c r="AV48" i="66"/>
  <c r="AY48" i="66" s="1"/>
  <c r="D45" i="72" s="1"/>
  <c r="F45" i="72" s="1"/>
  <c r="AU48" i="66"/>
  <c r="D48" i="66"/>
  <c r="AG48" i="66" s="1"/>
  <c r="AY47" i="66"/>
  <c r="D88" i="72" s="1"/>
  <c r="F88" i="72" s="1"/>
  <c r="AV47" i="66"/>
  <c r="AU47" i="66"/>
  <c r="AX47" i="66" s="1"/>
  <c r="C88" i="72" s="1"/>
  <c r="C47" i="66"/>
  <c r="AV46" i="66"/>
  <c r="AY46" i="66" s="1"/>
  <c r="D87" i="72" s="1"/>
  <c r="F87" i="72" s="1"/>
  <c r="AU46" i="66"/>
  <c r="AX46" i="66" s="1"/>
  <c r="C87" i="72" s="1"/>
  <c r="D46" i="66"/>
  <c r="BG46" i="66" s="1"/>
  <c r="C87" i="70" s="1"/>
  <c r="D87" i="70" s="1"/>
  <c r="K87" i="79" s="1"/>
  <c r="L87" i="79" s="1"/>
  <c r="C46" i="66"/>
  <c r="AF46" i="66" s="1"/>
  <c r="AV45" i="66"/>
  <c r="AY45" i="66" s="1"/>
  <c r="D44" i="72" s="1"/>
  <c r="F44" i="72" s="1"/>
  <c r="AU45" i="66"/>
  <c r="AX45" i="66" s="1"/>
  <c r="C44" i="72" s="1"/>
  <c r="D45" i="66"/>
  <c r="AI45" i="66" s="1"/>
  <c r="AU44" i="66"/>
  <c r="AX44" i="66" s="1"/>
  <c r="C43" i="72" s="1"/>
  <c r="AV44" i="66"/>
  <c r="AY44" i="66" s="1"/>
  <c r="D43" i="72" s="1"/>
  <c r="D44" i="66"/>
  <c r="AC44" i="66" s="1"/>
  <c r="AU43" i="66"/>
  <c r="AX43" i="66" s="1"/>
  <c r="C86" i="72" s="1"/>
  <c r="AV43" i="66"/>
  <c r="AY43" i="66" s="1"/>
  <c r="C43" i="66"/>
  <c r="G43" i="66" s="1"/>
  <c r="AY42" i="66"/>
  <c r="D42" i="72" s="1"/>
  <c r="AV42" i="66"/>
  <c r="AU42" i="66"/>
  <c r="AX42" i="66" s="1"/>
  <c r="C42" i="72" s="1"/>
  <c r="D42" i="66"/>
  <c r="AG42" i="66" s="1"/>
  <c r="AX41" i="66"/>
  <c r="C41" i="72" s="1"/>
  <c r="AV41" i="66"/>
  <c r="AY41" i="66" s="1"/>
  <c r="D41" i="72" s="1"/>
  <c r="F41" i="72" s="1"/>
  <c r="AU41" i="66"/>
  <c r="D41" i="66"/>
  <c r="AV40" i="66"/>
  <c r="AY40" i="66" s="1"/>
  <c r="D85" i="72" s="1"/>
  <c r="AU40" i="66"/>
  <c r="AX40" i="66" s="1"/>
  <c r="C85" i="72" s="1"/>
  <c r="D40" i="66"/>
  <c r="C40" i="66"/>
  <c r="AF40" i="66" s="1"/>
  <c r="AY39" i="66"/>
  <c r="D84" i="72" s="1"/>
  <c r="AV39" i="66"/>
  <c r="AU39" i="66"/>
  <c r="AX39" i="66" s="1"/>
  <c r="C84" i="72" s="1"/>
  <c r="C39" i="66"/>
  <c r="AV38" i="66"/>
  <c r="AY38" i="66" s="1"/>
  <c r="D40" i="72" s="1"/>
  <c r="F40" i="72" s="1"/>
  <c r="AU38" i="66"/>
  <c r="AX38" i="66" s="1"/>
  <c r="C40" i="72" s="1"/>
  <c r="D38" i="66"/>
  <c r="AY37" i="66"/>
  <c r="D39" i="72" s="1"/>
  <c r="AV37" i="66"/>
  <c r="AU37" i="66"/>
  <c r="D37" i="66"/>
  <c r="AP37" i="66" s="1"/>
  <c r="D39" i="71" s="1"/>
  <c r="AY36" i="66"/>
  <c r="D38" i="72" s="1"/>
  <c r="AU36" i="66"/>
  <c r="AX36" i="66" s="1"/>
  <c r="C38" i="72" s="1"/>
  <c r="AV36" i="66"/>
  <c r="D36" i="66"/>
  <c r="AC36" i="66" s="1"/>
  <c r="AX35" i="66"/>
  <c r="C37" i="72" s="1"/>
  <c r="AV35" i="66"/>
  <c r="AY35" i="66" s="1"/>
  <c r="D37" i="72" s="1"/>
  <c r="F37" i="72" s="1"/>
  <c r="AU35" i="66"/>
  <c r="D35" i="66"/>
  <c r="AG35" i="66" s="1"/>
  <c r="AV34" i="66"/>
  <c r="AY34" i="66" s="1"/>
  <c r="D36" i="72" s="1"/>
  <c r="F36" i="72" s="1"/>
  <c r="AU34" i="66"/>
  <c r="AX34" i="66" s="1"/>
  <c r="C36" i="72" s="1"/>
  <c r="D34" i="66"/>
  <c r="H34" i="66" s="1"/>
  <c r="AU33" i="66"/>
  <c r="AV33" i="66"/>
  <c r="AY33" i="66" s="1"/>
  <c r="D35" i="72" s="1"/>
  <c r="D33" i="66"/>
  <c r="AC33" i="66" s="1"/>
  <c r="AY32" i="66"/>
  <c r="D34" i="72" s="1"/>
  <c r="AV32" i="66"/>
  <c r="AU32" i="66"/>
  <c r="AX32" i="66" s="1"/>
  <c r="C34" i="72" s="1"/>
  <c r="D32" i="66"/>
  <c r="AG32" i="66" s="1"/>
  <c r="AV31" i="66"/>
  <c r="AY31" i="66" s="1"/>
  <c r="D33" i="72" s="1"/>
  <c r="AU31" i="66"/>
  <c r="D31" i="66"/>
  <c r="AE31" i="66" s="1"/>
  <c r="AV30" i="66"/>
  <c r="AY30" i="66" s="1"/>
  <c r="D32" i="72" s="1"/>
  <c r="F32" i="72" s="1"/>
  <c r="AU30" i="66"/>
  <c r="AX30" i="66" s="1"/>
  <c r="C32" i="72" s="1"/>
  <c r="D30" i="66"/>
  <c r="H30" i="66" s="1"/>
  <c r="AY29" i="66"/>
  <c r="D31" i="72" s="1"/>
  <c r="F31" i="72" s="1"/>
  <c r="AV29" i="66"/>
  <c r="AU29" i="66"/>
  <c r="AX29" i="66" s="1"/>
  <c r="C31" i="72" s="1"/>
  <c r="D29" i="66"/>
  <c r="AP29" i="66" s="1"/>
  <c r="D31" i="71" s="1"/>
  <c r="AU28" i="66"/>
  <c r="AX28" i="66" s="1"/>
  <c r="C83" i="72" s="1"/>
  <c r="AV28" i="66"/>
  <c r="AY28" i="66" s="1"/>
  <c r="D83" i="72" s="1"/>
  <c r="F83" i="72" s="1"/>
  <c r="C28" i="66"/>
  <c r="G28" i="66" s="1"/>
  <c r="AY27" i="66"/>
  <c r="D30" i="72" s="1"/>
  <c r="AU27" i="66"/>
  <c r="AV27" i="66"/>
  <c r="D27" i="66"/>
  <c r="AG27" i="66" s="1"/>
  <c r="AX26" i="66"/>
  <c r="C82" i="72" s="1"/>
  <c r="AU26" i="66"/>
  <c r="AV26" i="66"/>
  <c r="AY26" i="66" s="1"/>
  <c r="D82" i="72" s="1"/>
  <c r="F82" i="72" s="1"/>
  <c r="D26" i="66"/>
  <c r="AG26" i="66" s="1"/>
  <c r="H81" i="68" s="1"/>
  <c r="AC81" i="68" s="1"/>
  <c r="C26" i="66"/>
  <c r="AO26" i="66" s="1"/>
  <c r="C82" i="71" s="1"/>
  <c r="AY25" i="66"/>
  <c r="D29" i="72" s="1"/>
  <c r="AV25" i="66"/>
  <c r="AU25" i="66"/>
  <c r="AX25" i="66" s="1"/>
  <c r="C29" i="72" s="1"/>
  <c r="D25" i="66"/>
  <c r="AI25" i="66" s="1"/>
  <c r="AV24" i="66"/>
  <c r="AY24" i="66" s="1"/>
  <c r="D28" i="72" s="1"/>
  <c r="F28" i="72" s="1"/>
  <c r="AU24" i="66"/>
  <c r="AX24" i="66" s="1"/>
  <c r="C28" i="72" s="1"/>
  <c r="D24" i="66"/>
  <c r="AP24" i="66" s="1"/>
  <c r="D28" i="71" s="1"/>
  <c r="F28" i="71" s="1"/>
  <c r="AV23" i="66"/>
  <c r="AY23" i="66" s="1"/>
  <c r="D27" i="72" s="1"/>
  <c r="F27" i="72" s="1"/>
  <c r="AU23" i="66"/>
  <c r="AX23" i="66" s="1"/>
  <c r="C27" i="72" s="1"/>
  <c r="D23" i="66"/>
  <c r="AP23" i="66" s="1"/>
  <c r="D27" i="71" s="1"/>
  <c r="AV22" i="66"/>
  <c r="AY22" i="66" s="1"/>
  <c r="D81" i="72" s="1"/>
  <c r="AU22" i="66"/>
  <c r="AX22" i="66" s="1"/>
  <c r="C81" i="72" s="1"/>
  <c r="C22" i="66"/>
  <c r="AV21" i="66"/>
  <c r="AY21" i="66" s="1"/>
  <c r="D26" i="72" s="1"/>
  <c r="AU21" i="66"/>
  <c r="AX21" i="66" s="1"/>
  <c r="C26" i="72" s="1"/>
  <c r="D21" i="66"/>
  <c r="AP21" i="66" s="1"/>
  <c r="D26" i="71" s="1"/>
  <c r="F26" i="71" s="1"/>
  <c r="AV20" i="66"/>
  <c r="AY20" i="66" s="1"/>
  <c r="D25" i="72" s="1"/>
  <c r="AU20" i="66"/>
  <c r="AX20" i="66" s="1"/>
  <c r="C25" i="72" s="1"/>
  <c r="D20" i="66"/>
  <c r="AP20" i="66" s="1"/>
  <c r="D25" i="71" s="1"/>
  <c r="C20" i="66"/>
  <c r="BC20" i="66" s="1"/>
  <c r="C25" i="69" s="1"/>
  <c r="AV19" i="66"/>
  <c r="AY19" i="66" s="1"/>
  <c r="D24" i="72" s="1"/>
  <c r="F24" i="72" s="1"/>
  <c r="AU19" i="66"/>
  <c r="AX19" i="66" s="1"/>
  <c r="C24" i="72" s="1"/>
  <c r="D19" i="66"/>
  <c r="AP19" i="66" s="1"/>
  <c r="D24" i="71" s="1"/>
  <c r="F24" i="71" s="1"/>
  <c r="AV18" i="66"/>
  <c r="AY18" i="66" s="1"/>
  <c r="D23" i="72" s="1"/>
  <c r="F23" i="72" s="1"/>
  <c r="AU18" i="66"/>
  <c r="AX18" i="66" s="1"/>
  <c r="C23" i="72" s="1"/>
  <c r="D18" i="66"/>
  <c r="AV17" i="66"/>
  <c r="AY17" i="66" s="1"/>
  <c r="D22" i="72" s="1"/>
  <c r="AU17" i="66"/>
  <c r="AX17" i="66" s="1"/>
  <c r="C22" i="72" s="1"/>
  <c r="D17" i="66"/>
  <c r="AP17" i="66" s="1"/>
  <c r="D22" i="71" s="1"/>
  <c r="F22" i="71" s="1"/>
  <c r="AV16" i="66"/>
  <c r="AY16" i="66" s="1"/>
  <c r="D21" i="72" s="1"/>
  <c r="AU16" i="66"/>
  <c r="D16" i="66"/>
  <c r="AP16" i="66" s="1"/>
  <c r="D21" i="71" s="1"/>
  <c r="C16" i="66"/>
  <c r="BC16" i="66" s="1"/>
  <c r="C21" i="69" s="1"/>
  <c r="AV15" i="66"/>
  <c r="AY15" i="66" s="1"/>
  <c r="D20" i="72" s="1"/>
  <c r="AU15" i="66"/>
  <c r="AX15" i="66" s="1"/>
  <c r="C20" i="72" s="1"/>
  <c r="D15" i="66"/>
  <c r="AP15" i="66" s="1"/>
  <c r="D20" i="71" s="1"/>
  <c r="F20" i="71" s="1"/>
  <c r="AV14" i="66"/>
  <c r="AY14" i="66" s="1"/>
  <c r="D19" i="72" s="1"/>
  <c r="F19" i="72" s="1"/>
  <c r="AU14" i="66"/>
  <c r="AX14" i="66" s="1"/>
  <c r="C19" i="72" s="1"/>
  <c r="D14" i="66"/>
  <c r="AV13" i="66"/>
  <c r="AY13" i="66" s="1"/>
  <c r="D17" i="72" s="1"/>
  <c r="AU13" i="66"/>
  <c r="AX13" i="66" s="1"/>
  <c r="C17" i="72" s="1"/>
  <c r="D13" i="66"/>
  <c r="AP13" i="66" s="1"/>
  <c r="D17" i="71" s="1"/>
  <c r="C13" i="66"/>
  <c r="AV12" i="66"/>
  <c r="AY12" i="66" s="1"/>
  <c r="AU12" i="66"/>
  <c r="D12" i="66"/>
  <c r="AP12" i="66" s="1"/>
  <c r="AV11" i="66"/>
  <c r="AY11" i="66" s="1"/>
  <c r="D15" i="72" s="1"/>
  <c r="AU11" i="66"/>
  <c r="AX11" i="66" s="1"/>
  <c r="C15" i="72" s="1"/>
  <c r="D11" i="66"/>
  <c r="AP11" i="66" s="1"/>
  <c r="D15" i="71" s="1"/>
  <c r="AV10" i="66"/>
  <c r="AY10" i="66" s="1"/>
  <c r="D14" i="72" s="1"/>
  <c r="F14" i="72" s="1"/>
  <c r="AU10" i="66"/>
  <c r="D10" i="66"/>
  <c r="AG10" i="66" s="1"/>
  <c r="AV9" i="66"/>
  <c r="AY9" i="66" s="1"/>
  <c r="D13" i="72" s="1"/>
  <c r="F13" i="72" s="1"/>
  <c r="AU9" i="66"/>
  <c r="AX9" i="66" s="1"/>
  <c r="C13" i="72" s="1"/>
  <c r="D9" i="66"/>
  <c r="AP9" i="66" s="1"/>
  <c r="D13" i="71" s="1"/>
  <c r="C9" i="66"/>
  <c r="AD9" i="66" s="1"/>
  <c r="G12" i="68" s="1"/>
  <c r="Z12" i="68" s="1"/>
  <c r="AY8" i="66"/>
  <c r="D12" i="72" s="1"/>
  <c r="AV8" i="66"/>
  <c r="AU8" i="66"/>
  <c r="D8" i="66"/>
  <c r="AP8" i="66" s="1"/>
  <c r="D12" i="71" s="1"/>
  <c r="F12" i="71" s="1"/>
  <c r="AV7" i="66"/>
  <c r="AY7" i="66" s="1"/>
  <c r="D11" i="72" s="1"/>
  <c r="AU7" i="66"/>
  <c r="D7" i="66"/>
  <c r="AP7" i="66" s="1"/>
  <c r="D11" i="71" s="1"/>
  <c r="AV6" i="66"/>
  <c r="AY6" i="66" s="1"/>
  <c r="D10" i="72" s="1"/>
  <c r="F10" i="72" s="1"/>
  <c r="AU6" i="66"/>
  <c r="D6" i="66"/>
  <c r="H6" i="66" s="1"/>
  <c r="AV5" i="66"/>
  <c r="AY5" i="66" s="1"/>
  <c r="D9" i="72" s="1"/>
  <c r="F9" i="72" s="1"/>
  <c r="AU5" i="66"/>
  <c r="AX5" i="66" s="1"/>
  <c r="C9" i="72" s="1"/>
  <c r="D5" i="66"/>
  <c r="AP5" i="66" s="1"/>
  <c r="D9" i="71" s="1"/>
  <c r="C5" i="66"/>
  <c r="AO5" i="66" s="1"/>
  <c r="C9" i="71" s="1"/>
  <c r="AV4" i="66"/>
  <c r="AY4" i="66" s="1"/>
  <c r="D8" i="72" s="1"/>
  <c r="AU4" i="66"/>
  <c r="AX4" i="66" s="1"/>
  <c r="C8" i="72" s="1"/>
  <c r="D4" i="66"/>
  <c r="AC4" i="66" s="1"/>
  <c r="BF87" i="66"/>
  <c r="AV3" i="66"/>
  <c r="AY3" i="66" s="1"/>
  <c r="AS87" i="66"/>
  <c r="AS93" i="66" s="1"/>
  <c r="AS96" i="66" s="1"/>
  <c r="AL87" i="66"/>
  <c r="U87" i="66"/>
  <c r="U93" i="66" s="1"/>
  <c r="U96" i="66" s="1"/>
  <c r="S87" i="66"/>
  <c r="Q87" i="66"/>
  <c r="O87" i="66"/>
  <c r="M87" i="66"/>
  <c r="M93" i="66" s="1"/>
  <c r="M96" i="66" s="1"/>
  <c r="K87" i="66"/>
  <c r="E87" i="66"/>
  <c r="D3" i="66"/>
  <c r="X119" i="65"/>
  <c r="W119" i="65"/>
  <c r="S119" i="65"/>
  <c r="R119" i="65"/>
  <c r="O119" i="65"/>
  <c r="N119" i="65"/>
  <c r="H119" i="65"/>
  <c r="G119" i="65"/>
  <c r="Y118" i="65"/>
  <c r="U118" i="65"/>
  <c r="Q118" i="65"/>
  <c r="P118" i="65"/>
  <c r="J118" i="65"/>
  <c r="I118" i="65"/>
  <c r="Y117" i="65"/>
  <c r="U117" i="65"/>
  <c r="Q117" i="65"/>
  <c r="M117" i="65"/>
  <c r="I117" i="65"/>
  <c r="Y114" i="65"/>
  <c r="Y119" i="65" s="1"/>
  <c r="X114" i="65"/>
  <c r="W114" i="65"/>
  <c r="V114" i="65"/>
  <c r="V119" i="65" s="1"/>
  <c r="U114" i="65"/>
  <c r="U119" i="65" s="1"/>
  <c r="T114" i="65"/>
  <c r="T119" i="65" s="1"/>
  <c r="S114" i="65"/>
  <c r="R114" i="65"/>
  <c r="Q114" i="65"/>
  <c r="Q119" i="65" s="1"/>
  <c r="P114" i="65"/>
  <c r="P119" i="65" s="1"/>
  <c r="O114" i="65"/>
  <c r="N114" i="65"/>
  <c r="M114" i="65"/>
  <c r="M119" i="65" s="1"/>
  <c r="L114" i="65"/>
  <c r="L119" i="65" s="1"/>
  <c r="K114" i="65"/>
  <c r="K119" i="65" s="1"/>
  <c r="J114" i="65"/>
  <c r="J119" i="65" s="1"/>
  <c r="I114" i="65"/>
  <c r="I119" i="65" s="1"/>
  <c r="H114" i="65"/>
  <c r="G114" i="65"/>
  <c r="F114" i="65"/>
  <c r="F119" i="65" s="1"/>
  <c r="Y113" i="65"/>
  <c r="X113" i="65"/>
  <c r="X118" i="65" s="1"/>
  <c r="W113" i="65"/>
  <c r="W118" i="65" s="1"/>
  <c r="V113" i="65"/>
  <c r="V118" i="65" s="1"/>
  <c r="U113" i="65"/>
  <c r="T113" i="65"/>
  <c r="T118" i="65" s="1"/>
  <c r="S113" i="65"/>
  <c r="S118" i="65" s="1"/>
  <c r="R113" i="65"/>
  <c r="R118" i="65" s="1"/>
  <c r="Q113" i="65"/>
  <c r="P113" i="65"/>
  <c r="O113" i="65"/>
  <c r="O118" i="65" s="1"/>
  <c r="N113" i="65"/>
  <c r="N118" i="65" s="1"/>
  <c r="M113" i="65"/>
  <c r="M118" i="65" s="1"/>
  <c r="L113" i="65"/>
  <c r="L118" i="65" s="1"/>
  <c r="K113" i="65"/>
  <c r="K118" i="65" s="1"/>
  <c r="J113" i="65"/>
  <c r="I113" i="65"/>
  <c r="H113" i="65"/>
  <c r="H118" i="65" s="1"/>
  <c r="G113" i="65"/>
  <c r="G118" i="65" s="1"/>
  <c r="F113" i="65"/>
  <c r="F118" i="65" s="1"/>
  <c r="Y112" i="65"/>
  <c r="X112" i="65"/>
  <c r="W112" i="65"/>
  <c r="V112" i="65"/>
  <c r="U112" i="65"/>
  <c r="T112" i="65"/>
  <c r="S112" i="65"/>
  <c r="R112" i="65"/>
  <c r="Q112" i="65"/>
  <c r="P112" i="65"/>
  <c r="O112" i="65"/>
  <c r="N112" i="65"/>
  <c r="M112" i="65"/>
  <c r="L112" i="65"/>
  <c r="K112" i="65"/>
  <c r="J112" i="65"/>
  <c r="I112" i="65"/>
  <c r="H112" i="65"/>
  <c r="G112" i="65"/>
  <c r="F112" i="65"/>
  <c r="Y111" i="65"/>
  <c r="X111" i="65"/>
  <c r="W111" i="65"/>
  <c r="V111" i="65"/>
  <c r="U111" i="65"/>
  <c r="T111" i="65"/>
  <c r="S111" i="65"/>
  <c r="R111" i="65"/>
  <c r="Q111" i="65"/>
  <c r="P111" i="65"/>
  <c r="O111" i="65"/>
  <c r="N111" i="65"/>
  <c r="M111" i="65"/>
  <c r="L111" i="65"/>
  <c r="K111" i="65"/>
  <c r="J111" i="65"/>
  <c r="I111" i="65"/>
  <c r="H111" i="65"/>
  <c r="G111" i="65"/>
  <c r="F111" i="65"/>
  <c r="AL110" i="65"/>
  <c r="AH110" i="65"/>
  <c r="AC110" i="65"/>
  <c r="Y110" i="65"/>
  <c r="X110" i="65"/>
  <c r="W110" i="65"/>
  <c r="V110" i="65"/>
  <c r="U110" i="65"/>
  <c r="T110" i="65"/>
  <c r="S110" i="65"/>
  <c r="R110" i="65"/>
  <c r="Q110" i="65"/>
  <c r="P110" i="65"/>
  <c r="O110" i="65"/>
  <c r="N110" i="65"/>
  <c r="M110" i="65"/>
  <c r="L110" i="65"/>
  <c r="K110" i="65"/>
  <c r="J110" i="65"/>
  <c r="I110" i="65"/>
  <c r="H110" i="65"/>
  <c r="G110" i="65"/>
  <c r="F110" i="65"/>
  <c r="AJ109" i="65"/>
  <c r="AJ117" i="65" s="1"/>
  <c r="AA109" i="65"/>
  <c r="AA117" i="65" s="1"/>
  <c r="Y109" i="65"/>
  <c r="Y115" i="65" s="1"/>
  <c r="Y121" i="65" s="1"/>
  <c r="X109" i="65"/>
  <c r="X115" i="65" s="1"/>
  <c r="W109" i="65"/>
  <c r="W117" i="65" s="1"/>
  <c r="V109" i="65"/>
  <c r="V117" i="65" s="1"/>
  <c r="U109" i="65"/>
  <c r="U115" i="65" s="1"/>
  <c r="U121" i="65" s="1"/>
  <c r="T109" i="65"/>
  <c r="T115" i="65" s="1"/>
  <c r="S109" i="65"/>
  <c r="S117" i="65" s="1"/>
  <c r="R109" i="65"/>
  <c r="R117" i="65" s="1"/>
  <c r="Q109" i="65"/>
  <c r="Q115" i="65" s="1"/>
  <c r="Q121" i="65" s="1"/>
  <c r="P109" i="65"/>
  <c r="P115" i="65" s="1"/>
  <c r="O109" i="65"/>
  <c r="O117" i="65" s="1"/>
  <c r="N109" i="65"/>
  <c r="N117" i="65" s="1"/>
  <c r="M109" i="65"/>
  <c r="M115" i="65" s="1"/>
  <c r="M121" i="65" s="1"/>
  <c r="L109" i="65"/>
  <c r="L115" i="65" s="1"/>
  <c r="K109" i="65"/>
  <c r="K117" i="65" s="1"/>
  <c r="J109" i="65"/>
  <c r="J117" i="65" s="1"/>
  <c r="I109" i="65"/>
  <c r="I115" i="65" s="1"/>
  <c r="I121" i="65" s="1"/>
  <c r="H109" i="65"/>
  <c r="H115" i="65" s="1"/>
  <c r="G109" i="65"/>
  <c r="G117" i="65" s="1"/>
  <c r="F109" i="65"/>
  <c r="F117" i="65" s="1"/>
  <c r="AE108" i="65"/>
  <c r="AD108" i="65"/>
  <c r="AC108" i="65"/>
  <c r="AB108" i="65"/>
  <c r="AA108" i="65"/>
  <c r="Z108" i="65"/>
  <c r="Y108" i="65"/>
  <c r="X108" i="65"/>
  <c r="W108" i="65"/>
  <c r="U108" i="65"/>
  <c r="T108" i="65"/>
  <c r="R108" i="65"/>
  <c r="Q108" i="65"/>
  <c r="P108" i="65"/>
  <c r="N108" i="65"/>
  <c r="M108" i="65"/>
  <c r="L108" i="65"/>
  <c r="K108" i="65"/>
  <c r="J108" i="65"/>
  <c r="I108" i="65"/>
  <c r="H108" i="65"/>
  <c r="G108" i="65"/>
  <c r="F108" i="65"/>
  <c r="Y105" i="65"/>
  <c r="X105" i="65"/>
  <c r="W105" i="65"/>
  <c r="V105" i="65"/>
  <c r="U105" i="65"/>
  <c r="T105" i="65"/>
  <c r="S105" i="65"/>
  <c r="R105" i="65"/>
  <c r="Q105" i="65"/>
  <c r="P105" i="65"/>
  <c r="O105" i="65"/>
  <c r="N105" i="65"/>
  <c r="M105" i="65"/>
  <c r="L105" i="65"/>
  <c r="K105" i="65"/>
  <c r="J105" i="65"/>
  <c r="I105" i="65"/>
  <c r="H105" i="65"/>
  <c r="G105" i="65"/>
  <c r="F105" i="65"/>
  <c r="AL104" i="65"/>
  <c r="AK104" i="65"/>
  <c r="AJ104" i="65"/>
  <c r="AI104" i="65"/>
  <c r="AM104" i="65" s="1"/>
  <c r="AN104" i="65" s="1"/>
  <c r="AH104" i="65"/>
  <c r="AG104" i="65"/>
  <c r="AD104" i="65"/>
  <c r="AC104" i="65"/>
  <c r="AE104" i="65" s="1"/>
  <c r="AB104" i="65"/>
  <c r="AA104" i="65"/>
  <c r="Z104" i="65"/>
  <c r="AL103" i="65"/>
  <c r="AK103" i="65"/>
  <c r="AJ103" i="65"/>
  <c r="AI103" i="65"/>
  <c r="AH103" i="65"/>
  <c r="AG103" i="65"/>
  <c r="AM103" i="65" s="1"/>
  <c r="AN103" i="65" s="1"/>
  <c r="AE103" i="65"/>
  <c r="AD103" i="65"/>
  <c r="AC103" i="65"/>
  <c r="AB103" i="65"/>
  <c r="AA103" i="65"/>
  <c r="Z103" i="65"/>
  <c r="AL102" i="65"/>
  <c r="AK102" i="65"/>
  <c r="AJ102" i="65"/>
  <c r="AI102" i="65"/>
  <c r="AM102" i="65" s="1"/>
  <c r="AN102" i="65" s="1"/>
  <c r="AH102" i="65"/>
  <c r="AG102" i="65"/>
  <c r="AD102" i="65"/>
  <c r="AC102" i="65"/>
  <c r="AE102" i="65" s="1"/>
  <c r="AB102" i="65"/>
  <c r="AA102" i="65"/>
  <c r="Z102" i="65"/>
  <c r="AL101" i="65"/>
  <c r="AK101" i="65"/>
  <c r="AJ101" i="65"/>
  <c r="AI101" i="65"/>
  <c r="AH101" i="65"/>
  <c r="AG101" i="65"/>
  <c r="AM101" i="65" s="1"/>
  <c r="AN101" i="65" s="1"/>
  <c r="AE101" i="65"/>
  <c r="AD101" i="65"/>
  <c r="AC101" i="65"/>
  <c r="AB101" i="65"/>
  <c r="AA101" i="65"/>
  <c r="Z101" i="65"/>
  <c r="AL100" i="65"/>
  <c r="AK100" i="65"/>
  <c r="AJ100" i="65"/>
  <c r="AI100" i="65"/>
  <c r="AM100" i="65" s="1"/>
  <c r="AN100" i="65" s="1"/>
  <c r="AH100" i="65"/>
  <c r="AG100" i="65"/>
  <c r="AD100" i="65"/>
  <c r="AC100" i="65"/>
  <c r="AE100" i="65" s="1"/>
  <c r="AB100" i="65"/>
  <c r="AA100" i="65"/>
  <c r="Z100" i="65"/>
  <c r="AL99" i="65"/>
  <c r="AK99" i="65"/>
  <c r="AJ99" i="65"/>
  <c r="AI99" i="65"/>
  <c r="AH99" i="65"/>
  <c r="AG99" i="65"/>
  <c r="AM99" i="65" s="1"/>
  <c r="AN99" i="65" s="1"/>
  <c r="AE99" i="65"/>
  <c r="AD99" i="65"/>
  <c r="AC99" i="65"/>
  <c r="AB99" i="65"/>
  <c r="AA99" i="65"/>
  <c r="Z99" i="65"/>
  <c r="AL98" i="65"/>
  <c r="AK98" i="65"/>
  <c r="AJ98" i="65"/>
  <c r="AI98" i="65"/>
  <c r="AM98" i="65" s="1"/>
  <c r="AN98" i="65" s="1"/>
  <c r="AH98" i="65"/>
  <c r="AG98" i="65"/>
  <c r="AD98" i="65"/>
  <c r="AC98" i="65"/>
  <c r="AE98" i="65" s="1"/>
  <c r="AB98" i="65"/>
  <c r="AA98" i="65"/>
  <c r="Z98" i="65"/>
  <c r="AL97" i="65"/>
  <c r="AK97" i="65"/>
  <c r="AJ97" i="65"/>
  <c r="AI97" i="65"/>
  <c r="AH97" i="65"/>
  <c r="AG97" i="65"/>
  <c r="AM97" i="65" s="1"/>
  <c r="AN97" i="65" s="1"/>
  <c r="AE97" i="65"/>
  <c r="AD97" i="65"/>
  <c r="AC97" i="65"/>
  <c r="AB97" i="65"/>
  <c r="AA97" i="65"/>
  <c r="Z97" i="65"/>
  <c r="AL96" i="65"/>
  <c r="AK96" i="65"/>
  <c r="AJ96" i="65"/>
  <c r="AI96" i="65"/>
  <c r="AM96" i="65" s="1"/>
  <c r="AN96" i="65" s="1"/>
  <c r="AH96" i="65"/>
  <c r="AG96" i="65"/>
  <c r="AD96" i="65"/>
  <c r="AC96" i="65"/>
  <c r="AE96" i="65" s="1"/>
  <c r="AB96" i="65"/>
  <c r="AA96" i="65"/>
  <c r="Z96" i="65"/>
  <c r="AL95" i="65"/>
  <c r="AK95" i="65"/>
  <c r="AJ95" i="65"/>
  <c r="AI95" i="65"/>
  <c r="AH95" i="65"/>
  <c r="AG95" i="65"/>
  <c r="AM95" i="65" s="1"/>
  <c r="AN95" i="65" s="1"/>
  <c r="AE95" i="65"/>
  <c r="AD95" i="65"/>
  <c r="AC95" i="65"/>
  <c r="AB95" i="65"/>
  <c r="AA95" i="65"/>
  <c r="Z95" i="65"/>
  <c r="AL94" i="65"/>
  <c r="AK94" i="65"/>
  <c r="AJ94" i="65"/>
  <c r="AI94" i="65"/>
  <c r="AM94" i="65" s="1"/>
  <c r="AN94" i="65" s="1"/>
  <c r="AH94" i="65"/>
  <c r="AG94" i="65"/>
  <c r="AD94" i="65"/>
  <c r="AC94" i="65"/>
  <c r="AE94" i="65" s="1"/>
  <c r="AB94" i="65"/>
  <c r="AA94" i="65"/>
  <c r="Z94" i="65"/>
  <c r="AL93" i="65"/>
  <c r="AK93" i="65"/>
  <c r="AJ93" i="65"/>
  <c r="AI93" i="65"/>
  <c r="AH93" i="65"/>
  <c r="AG93" i="65"/>
  <c r="AM93" i="65" s="1"/>
  <c r="AN93" i="65" s="1"/>
  <c r="AE93" i="65"/>
  <c r="AD93" i="65"/>
  <c r="AC93" i="65"/>
  <c r="AB93" i="65"/>
  <c r="AA93" i="65"/>
  <c r="Z93" i="65"/>
  <c r="AL92" i="65"/>
  <c r="AK92" i="65"/>
  <c r="AJ92" i="65"/>
  <c r="AI92" i="65"/>
  <c r="AM92" i="65" s="1"/>
  <c r="AN92" i="65" s="1"/>
  <c r="AH92" i="65"/>
  <c r="AG92" i="65"/>
  <c r="AD92" i="65"/>
  <c r="AC92" i="65"/>
  <c r="AE92" i="65" s="1"/>
  <c r="AB92" i="65"/>
  <c r="AA92" i="65"/>
  <c r="Z92" i="65"/>
  <c r="AL91" i="65"/>
  <c r="AK91" i="65"/>
  <c r="AJ91" i="65"/>
  <c r="AI91" i="65"/>
  <c r="AH91" i="65"/>
  <c r="AG91" i="65"/>
  <c r="AM91" i="65" s="1"/>
  <c r="AN91" i="65" s="1"/>
  <c r="AE91" i="65"/>
  <c r="AD91" i="65"/>
  <c r="AC91" i="65"/>
  <c r="AB91" i="65"/>
  <c r="AA91" i="65"/>
  <c r="Z91" i="65"/>
  <c r="AL90" i="65"/>
  <c r="AK90" i="65"/>
  <c r="AJ90" i="65"/>
  <c r="AI90" i="65"/>
  <c r="AM90" i="65" s="1"/>
  <c r="AN90" i="65" s="1"/>
  <c r="AH90" i="65"/>
  <c r="AG90" i="65"/>
  <c r="AD90" i="65"/>
  <c r="AC90" i="65"/>
  <c r="AE90" i="65" s="1"/>
  <c r="AB90" i="65"/>
  <c r="AA90" i="65"/>
  <c r="Z90" i="65"/>
  <c r="AL89" i="65"/>
  <c r="AK89" i="65"/>
  <c r="AJ89" i="65"/>
  <c r="AI89" i="65"/>
  <c r="AH89" i="65"/>
  <c r="AG89" i="65"/>
  <c r="AM89" i="65" s="1"/>
  <c r="AN89" i="65" s="1"/>
  <c r="AE89" i="65"/>
  <c r="AD89" i="65"/>
  <c r="AC89" i="65"/>
  <c r="AB89" i="65"/>
  <c r="AA89" i="65"/>
  <c r="Z89" i="65"/>
  <c r="AL88" i="65"/>
  <c r="AK88" i="65"/>
  <c r="AJ88" i="65"/>
  <c r="AI88" i="65"/>
  <c r="AM88" i="65" s="1"/>
  <c r="AN88" i="65" s="1"/>
  <c r="AH88" i="65"/>
  <c r="AG88" i="65"/>
  <c r="AD88" i="65"/>
  <c r="AC88" i="65"/>
  <c r="AE88" i="65" s="1"/>
  <c r="AB88" i="65"/>
  <c r="AA88" i="65"/>
  <c r="Z88" i="65"/>
  <c r="AL87" i="65"/>
  <c r="AK87" i="65"/>
  <c r="AJ87" i="65"/>
  <c r="AI87" i="65"/>
  <c r="AH87" i="65"/>
  <c r="AG87" i="65"/>
  <c r="AM87" i="65" s="1"/>
  <c r="AN87" i="65" s="1"/>
  <c r="AE87" i="65"/>
  <c r="AD87" i="65"/>
  <c r="AC87" i="65"/>
  <c r="AB87" i="65"/>
  <c r="AA87" i="65"/>
  <c r="Z87" i="65"/>
  <c r="AL86" i="65"/>
  <c r="AK86" i="65"/>
  <c r="AJ86" i="65"/>
  <c r="AI86" i="65"/>
  <c r="AM86" i="65" s="1"/>
  <c r="AN86" i="65" s="1"/>
  <c r="AH86" i="65"/>
  <c r="AG86" i="65"/>
  <c r="AD86" i="65"/>
  <c r="AC86" i="65"/>
  <c r="AE86" i="65" s="1"/>
  <c r="AB86" i="65"/>
  <c r="AA86" i="65"/>
  <c r="Z86" i="65"/>
  <c r="AL85" i="65"/>
  <c r="AK85" i="65"/>
  <c r="AJ85" i="65"/>
  <c r="AI85" i="65"/>
  <c r="AH85" i="65"/>
  <c r="AG85" i="65"/>
  <c r="AM85" i="65" s="1"/>
  <c r="AN85" i="65" s="1"/>
  <c r="AE85" i="65"/>
  <c r="AD85" i="65"/>
  <c r="AC85" i="65"/>
  <c r="AB85" i="65"/>
  <c r="AA85" i="65"/>
  <c r="Z85" i="65"/>
  <c r="AL84" i="65"/>
  <c r="AK84" i="65"/>
  <c r="AJ84" i="65"/>
  <c r="AI84" i="65"/>
  <c r="AM84" i="65" s="1"/>
  <c r="AN84" i="65" s="1"/>
  <c r="AH84" i="65"/>
  <c r="AG84" i="65"/>
  <c r="AD84" i="65"/>
  <c r="AC84" i="65"/>
  <c r="AE84" i="65" s="1"/>
  <c r="AB84" i="65"/>
  <c r="AA84" i="65"/>
  <c r="Z84" i="65"/>
  <c r="AL83" i="65"/>
  <c r="AK83" i="65"/>
  <c r="AJ83" i="65"/>
  <c r="AI83" i="65"/>
  <c r="AH83" i="65"/>
  <c r="AG83" i="65"/>
  <c r="AM83" i="65" s="1"/>
  <c r="AN83" i="65" s="1"/>
  <c r="AE83" i="65"/>
  <c r="AD83" i="65"/>
  <c r="AC83" i="65"/>
  <c r="AB83" i="65"/>
  <c r="AA83" i="65"/>
  <c r="Z83" i="65"/>
  <c r="AL82" i="65"/>
  <c r="AK82" i="65"/>
  <c r="AJ82" i="65"/>
  <c r="AI82" i="65"/>
  <c r="AM82" i="65" s="1"/>
  <c r="AN82" i="65" s="1"/>
  <c r="AH82" i="65"/>
  <c r="AG82" i="65"/>
  <c r="AD82" i="65"/>
  <c r="AC82" i="65"/>
  <c r="AE82" i="65" s="1"/>
  <c r="AB82" i="65"/>
  <c r="AA82" i="65"/>
  <c r="Z82" i="65"/>
  <c r="AL81" i="65"/>
  <c r="AK81" i="65"/>
  <c r="AJ81" i="65"/>
  <c r="AI81" i="65"/>
  <c r="AH81" i="65"/>
  <c r="AG81" i="65"/>
  <c r="AM81" i="65" s="1"/>
  <c r="AN81" i="65" s="1"/>
  <c r="AE81" i="65"/>
  <c r="AD81" i="65"/>
  <c r="AC81" i="65"/>
  <c r="AB81" i="65"/>
  <c r="AA81" i="65"/>
  <c r="Z81" i="65"/>
  <c r="AL80" i="65"/>
  <c r="AK80" i="65"/>
  <c r="AJ80" i="65"/>
  <c r="AI80" i="65"/>
  <c r="AM80" i="65" s="1"/>
  <c r="AN80" i="65" s="1"/>
  <c r="AH80" i="65"/>
  <c r="AG80" i="65"/>
  <c r="AD80" i="65"/>
  <c r="AC80" i="65"/>
  <c r="AE80" i="65" s="1"/>
  <c r="AB80" i="65"/>
  <c r="AA80" i="65"/>
  <c r="Z80" i="65"/>
  <c r="AL79" i="65"/>
  <c r="AK79" i="65"/>
  <c r="AJ79" i="65"/>
  <c r="AI79" i="65"/>
  <c r="AH79" i="65"/>
  <c r="AG79" i="65"/>
  <c r="AM79" i="65" s="1"/>
  <c r="AN79" i="65" s="1"/>
  <c r="AE79" i="65"/>
  <c r="AD79" i="65"/>
  <c r="AC79" i="65"/>
  <c r="AB79" i="65"/>
  <c r="AA79" i="65"/>
  <c r="Z79" i="65"/>
  <c r="AL78" i="65"/>
  <c r="AK78" i="65"/>
  <c r="AJ78" i="65"/>
  <c r="AI78" i="65"/>
  <c r="AM78" i="65" s="1"/>
  <c r="AN78" i="65" s="1"/>
  <c r="AH78" i="65"/>
  <c r="AG78" i="65"/>
  <c r="AD78" i="65"/>
  <c r="AC78" i="65"/>
  <c r="AE78" i="65" s="1"/>
  <c r="AB78" i="65"/>
  <c r="AA78" i="65"/>
  <c r="Z78" i="65"/>
  <c r="AL77" i="65"/>
  <c r="AK77" i="65"/>
  <c r="AJ77" i="65"/>
  <c r="AI77" i="65"/>
  <c r="AH77" i="65"/>
  <c r="AG77" i="65"/>
  <c r="AM77" i="65" s="1"/>
  <c r="AN77" i="65" s="1"/>
  <c r="AE77" i="65"/>
  <c r="AD77" i="65"/>
  <c r="AC77" i="65"/>
  <c r="AB77" i="65"/>
  <c r="AA77" i="65"/>
  <c r="Z77" i="65"/>
  <c r="AL76" i="65"/>
  <c r="AK76" i="65"/>
  <c r="AJ76" i="65"/>
  <c r="AI76" i="65"/>
  <c r="AM76" i="65" s="1"/>
  <c r="AN76" i="65" s="1"/>
  <c r="AH76" i="65"/>
  <c r="AG76" i="65"/>
  <c r="AD76" i="65"/>
  <c r="AC76" i="65"/>
  <c r="AE76" i="65" s="1"/>
  <c r="AB76" i="65"/>
  <c r="AA76" i="65"/>
  <c r="Z76" i="65"/>
  <c r="AL75" i="65"/>
  <c r="AK75" i="65"/>
  <c r="AJ75" i="65"/>
  <c r="AI75" i="65"/>
  <c r="AH75" i="65"/>
  <c r="AG75" i="65"/>
  <c r="AM75" i="65" s="1"/>
  <c r="AN75" i="65" s="1"/>
  <c r="AE75" i="65"/>
  <c r="AD75" i="65"/>
  <c r="AC75" i="65"/>
  <c r="AB75" i="65"/>
  <c r="AA75" i="65"/>
  <c r="Z75" i="65"/>
  <c r="AL74" i="65"/>
  <c r="AK74" i="65"/>
  <c r="AJ74" i="65"/>
  <c r="AI74" i="65"/>
  <c r="AM74" i="65" s="1"/>
  <c r="AN74" i="65" s="1"/>
  <c r="AH74" i="65"/>
  <c r="AG74" i="65"/>
  <c r="AD74" i="65"/>
  <c r="AC74" i="65"/>
  <c r="AE74" i="65" s="1"/>
  <c r="AB74" i="65"/>
  <c r="AA74" i="65"/>
  <c r="Z74" i="65"/>
  <c r="AL73" i="65"/>
  <c r="AK73" i="65"/>
  <c r="AJ73" i="65"/>
  <c r="AI73" i="65"/>
  <c r="AH73" i="65"/>
  <c r="AG73" i="65"/>
  <c r="AM73" i="65" s="1"/>
  <c r="AN73" i="65" s="1"/>
  <c r="AE73" i="65"/>
  <c r="AD73" i="65"/>
  <c r="AC73" i="65"/>
  <c r="AB73" i="65"/>
  <c r="AA73" i="65"/>
  <c r="Z73" i="65"/>
  <c r="AL72" i="65"/>
  <c r="AK72" i="65"/>
  <c r="AJ72" i="65"/>
  <c r="AI72" i="65"/>
  <c r="AM72" i="65" s="1"/>
  <c r="AN72" i="65" s="1"/>
  <c r="AH72" i="65"/>
  <c r="AG72" i="65"/>
  <c r="AD72" i="65"/>
  <c r="AC72" i="65"/>
  <c r="AE72" i="65" s="1"/>
  <c r="AB72" i="65"/>
  <c r="AA72" i="65"/>
  <c r="Z72" i="65"/>
  <c r="AL71" i="65"/>
  <c r="AK71" i="65"/>
  <c r="AJ71" i="65"/>
  <c r="AI71" i="65"/>
  <c r="AH71" i="65"/>
  <c r="AG71" i="65"/>
  <c r="AM71" i="65" s="1"/>
  <c r="AN71" i="65" s="1"/>
  <c r="AE71" i="65"/>
  <c r="AD71" i="65"/>
  <c r="AC71" i="65"/>
  <c r="AB71" i="65"/>
  <c r="AA71" i="65"/>
  <c r="Z71" i="65"/>
  <c r="AL70" i="65"/>
  <c r="AK70" i="65"/>
  <c r="AJ70" i="65"/>
  <c r="AI70" i="65"/>
  <c r="AM70" i="65" s="1"/>
  <c r="AN70" i="65" s="1"/>
  <c r="AH70" i="65"/>
  <c r="AG70" i="65"/>
  <c r="AD70" i="65"/>
  <c r="AC70" i="65"/>
  <c r="AE70" i="65" s="1"/>
  <c r="AB70" i="65"/>
  <c r="AA70" i="65"/>
  <c r="Z70" i="65"/>
  <c r="AL69" i="65"/>
  <c r="AK69" i="65"/>
  <c r="AJ69" i="65"/>
  <c r="AI69" i="65"/>
  <c r="AH69" i="65"/>
  <c r="AG69" i="65"/>
  <c r="AM69" i="65" s="1"/>
  <c r="AN69" i="65" s="1"/>
  <c r="AE69" i="65"/>
  <c r="AD69" i="65"/>
  <c r="AC69" i="65"/>
  <c r="AB69" i="65"/>
  <c r="AA69" i="65"/>
  <c r="Z69" i="65"/>
  <c r="AL68" i="65"/>
  <c r="AK68" i="65"/>
  <c r="AJ68" i="65"/>
  <c r="AI68" i="65"/>
  <c r="AM68" i="65" s="1"/>
  <c r="AN68" i="65" s="1"/>
  <c r="AH68" i="65"/>
  <c r="AG68" i="65"/>
  <c r="AD68" i="65"/>
  <c r="AC68" i="65"/>
  <c r="AE68" i="65" s="1"/>
  <c r="AB68" i="65"/>
  <c r="AA68" i="65"/>
  <c r="Z68" i="65"/>
  <c r="AL67" i="65"/>
  <c r="AK67" i="65"/>
  <c r="AJ67" i="65"/>
  <c r="AI67" i="65"/>
  <c r="AH67" i="65"/>
  <c r="AG67" i="65"/>
  <c r="AM67" i="65" s="1"/>
  <c r="AN67" i="65" s="1"/>
  <c r="AE67" i="65"/>
  <c r="AD67" i="65"/>
  <c r="AC67" i="65"/>
  <c r="AB67" i="65"/>
  <c r="AA67" i="65"/>
  <c r="Z67" i="65"/>
  <c r="AL66" i="65"/>
  <c r="AK66" i="65"/>
  <c r="AJ66" i="65"/>
  <c r="AI66" i="65"/>
  <c r="AM66" i="65" s="1"/>
  <c r="AN66" i="65" s="1"/>
  <c r="AH66" i="65"/>
  <c r="AG66" i="65"/>
  <c r="AD66" i="65"/>
  <c r="AC66" i="65"/>
  <c r="AE66" i="65" s="1"/>
  <c r="AB66" i="65"/>
  <c r="AA66" i="65"/>
  <c r="Z66" i="65"/>
  <c r="AL65" i="65"/>
  <c r="AK65" i="65"/>
  <c r="AJ65" i="65"/>
  <c r="AI65" i="65"/>
  <c r="AH65" i="65"/>
  <c r="AG65" i="65"/>
  <c r="AM65" i="65" s="1"/>
  <c r="AN65" i="65" s="1"/>
  <c r="AE65" i="65"/>
  <c r="AD65" i="65"/>
  <c r="AC65" i="65"/>
  <c r="AB65" i="65"/>
  <c r="AA65" i="65"/>
  <c r="Z65" i="65"/>
  <c r="AL64" i="65"/>
  <c r="AK64" i="65"/>
  <c r="AJ64" i="65"/>
  <c r="AI64" i="65"/>
  <c r="AM64" i="65" s="1"/>
  <c r="AN64" i="65" s="1"/>
  <c r="AH64" i="65"/>
  <c r="AG64" i="65"/>
  <c r="AD64" i="65"/>
  <c r="AC64" i="65"/>
  <c r="AE64" i="65" s="1"/>
  <c r="AB64" i="65"/>
  <c r="AA64" i="65"/>
  <c r="Z64" i="65"/>
  <c r="AL63" i="65"/>
  <c r="AK63" i="65"/>
  <c r="AJ63" i="65"/>
  <c r="AI63" i="65"/>
  <c r="AH63" i="65"/>
  <c r="AG63" i="65"/>
  <c r="AM63" i="65" s="1"/>
  <c r="AN63" i="65" s="1"/>
  <c r="AE63" i="65"/>
  <c r="AD63" i="65"/>
  <c r="AC63" i="65"/>
  <c r="AB63" i="65"/>
  <c r="AA63" i="65"/>
  <c r="Z63" i="65"/>
  <c r="AL62" i="65"/>
  <c r="AK62" i="65"/>
  <c r="AJ62" i="65"/>
  <c r="AI62" i="65"/>
  <c r="AM62" i="65" s="1"/>
  <c r="AN62" i="65" s="1"/>
  <c r="AH62" i="65"/>
  <c r="AG62" i="65"/>
  <c r="AD62" i="65"/>
  <c r="AC62" i="65"/>
  <c r="AE62" i="65" s="1"/>
  <c r="AB62" i="65"/>
  <c r="AA62" i="65"/>
  <c r="Z62" i="65"/>
  <c r="AL61" i="65"/>
  <c r="AK61" i="65"/>
  <c r="AJ61" i="65"/>
  <c r="AI61" i="65"/>
  <c r="AH61" i="65"/>
  <c r="AG61" i="65"/>
  <c r="AM61" i="65" s="1"/>
  <c r="AN61" i="65" s="1"/>
  <c r="AE61" i="65"/>
  <c r="AD61" i="65"/>
  <c r="AC61" i="65"/>
  <c r="AB61" i="65"/>
  <c r="AA61" i="65"/>
  <c r="Z61" i="65"/>
  <c r="AL60" i="65"/>
  <c r="AK60" i="65"/>
  <c r="AJ60" i="65"/>
  <c r="AI60" i="65"/>
  <c r="AM60" i="65" s="1"/>
  <c r="AN60" i="65" s="1"/>
  <c r="AH60" i="65"/>
  <c r="AG60" i="65"/>
  <c r="AD60" i="65"/>
  <c r="AC60" i="65"/>
  <c r="AE60" i="65" s="1"/>
  <c r="AB60" i="65"/>
  <c r="AA60" i="65"/>
  <c r="Z60" i="65"/>
  <c r="AL59" i="65"/>
  <c r="AK59" i="65"/>
  <c r="AJ59" i="65"/>
  <c r="AI59" i="65"/>
  <c r="AH59" i="65"/>
  <c r="AG59" i="65"/>
  <c r="AM59" i="65" s="1"/>
  <c r="AN59" i="65" s="1"/>
  <c r="AE59" i="65"/>
  <c r="AD59" i="65"/>
  <c r="AC59" i="65"/>
  <c r="AB59" i="65"/>
  <c r="AA59" i="65"/>
  <c r="Z59" i="65"/>
  <c r="AL58" i="65"/>
  <c r="AK58" i="65"/>
  <c r="AJ58" i="65"/>
  <c r="AI58" i="65"/>
  <c r="AM58" i="65" s="1"/>
  <c r="AN58" i="65" s="1"/>
  <c r="AH58" i="65"/>
  <c r="AG58" i="65"/>
  <c r="AD58" i="65"/>
  <c r="AC58" i="65"/>
  <c r="AE58" i="65" s="1"/>
  <c r="AB58" i="65"/>
  <c r="AA58" i="65"/>
  <c r="Z58" i="65"/>
  <c r="AL57" i="65"/>
  <c r="AK57" i="65"/>
  <c r="AJ57" i="65"/>
  <c r="AI57" i="65"/>
  <c r="AH57" i="65"/>
  <c r="AG57" i="65"/>
  <c r="AM57" i="65" s="1"/>
  <c r="AN57" i="65" s="1"/>
  <c r="AE57" i="65"/>
  <c r="AD57" i="65"/>
  <c r="AC57" i="65"/>
  <c r="AB57" i="65"/>
  <c r="AA57" i="65"/>
  <c r="Z57" i="65"/>
  <c r="AL56" i="65"/>
  <c r="AK56" i="65"/>
  <c r="AJ56" i="65"/>
  <c r="AI56" i="65"/>
  <c r="AM56" i="65" s="1"/>
  <c r="AN56" i="65" s="1"/>
  <c r="AH56" i="65"/>
  <c r="AG56" i="65"/>
  <c r="AD56" i="65"/>
  <c r="AC56" i="65"/>
  <c r="AE56" i="65" s="1"/>
  <c r="AB56" i="65"/>
  <c r="AA56" i="65"/>
  <c r="Z56" i="65"/>
  <c r="AL55" i="65"/>
  <c r="AK55" i="65"/>
  <c r="AJ55" i="65"/>
  <c r="AI55" i="65"/>
  <c r="AH55" i="65"/>
  <c r="AG55" i="65"/>
  <c r="AM55" i="65" s="1"/>
  <c r="AN55" i="65" s="1"/>
  <c r="AE55" i="65"/>
  <c r="AD55" i="65"/>
  <c r="AC55" i="65"/>
  <c r="AB55" i="65"/>
  <c r="AA55" i="65"/>
  <c r="Z55" i="65"/>
  <c r="AL54" i="65"/>
  <c r="AK54" i="65"/>
  <c r="AJ54" i="65"/>
  <c r="AI54" i="65"/>
  <c r="AM54" i="65" s="1"/>
  <c r="AN54" i="65" s="1"/>
  <c r="AH54" i="65"/>
  <c r="AG54" i="65"/>
  <c r="AD54" i="65"/>
  <c r="AC54" i="65"/>
  <c r="AE54" i="65" s="1"/>
  <c r="AB54" i="65"/>
  <c r="AA54" i="65"/>
  <c r="Z54" i="65"/>
  <c r="AL53" i="65"/>
  <c r="AK53" i="65"/>
  <c r="AJ53" i="65"/>
  <c r="AI53" i="65"/>
  <c r="AH53" i="65"/>
  <c r="AG53" i="65"/>
  <c r="AM53" i="65" s="1"/>
  <c r="AN53" i="65" s="1"/>
  <c r="AE53" i="65"/>
  <c r="AD53" i="65"/>
  <c r="AC53" i="65"/>
  <c r="AB53" i="65"/>
  <c r="AA53" i="65"/>
  <c r="Z53" i="65"/>
  <c r="AL52" i="65"/>
  <c r="AK52" i="65"/>
  <c r="AJ52" i="65"/>
  <c r="AI52" i="65"/>
  <c r="AM52" i="65" s="1"/>
  <c r="AN52" i="65" s="1"/>
  <c r="AH52" i="65"/>
  <c r="AG52" i="65"/>
  <c r="AD52" i="65"/>
  <c r="AC52" i="65"/>
  <c r="AE52" i="65" s="1"/>
  <c r="AB52" i="65"/>
  <c r="AA52" i="65"/>
  <c r="Z52" i="65"/>
  <c r="AL51" i="65"/>
  <c r="AK51" i="65"/>
  <c r="AJ51" i="65"/>
  <c r="AI51" i="65"/>
  <c r="AH51" i="65"/>
  <c r="AG51" i="65"/>
  <c r="AM51" i="65" s="1"/>
  <c r="AN51" i="65" s="1"/>
  <c r="AE51" i="65"/>
  <c r="AD51" i="65"/>
  <c r="AC51" i="65"/>
  <c r="AB51" i="65"/>
  <c r="AA51" i="65"/>
  <c r="Z51" i="65"/>
  <c r="AL50" i="65"/>
  <c r="AK50" i="65"/>
  <c r="AJ50" i="65"/>
  <c r="AI50" i="65"/>
  <c r="AM50" i="65" s="1"/>
  <c r="AN50" i="65" s="1"/>
  <c r="AH50" i="65"/>
  <c r="AG50" i="65"/>
  <c r="AD50" i="65"/>
  <c r="AC50" i="65"/>
  <c r="AE50" i="65" s="1"/>
  <c r="AB50" i="65"/>
  <c r="AA50" i="65"/>
  <c r="Z50" i="65"/>
  <c r="AL49" i="65"/>
  <c r="AK49" i="65"/>
  <c r="AJ49" i="65"/>
  <c r="AI49" i="65"/>
  <c r="AH49" i="65"/>
  <c r="AG49" i="65"/>
  <c r="AM49" i="65" s="1"/>
  <c r="AN49" i="65" s="1"/>
  <c r="AE49" i="65"/>
  <c r="AD49" i="65"/>
  <c r="AC49" i="65"/>
  <c r="AB49" i="65"/>
  <c r="AA49" i="65"/>
  <c r="Z49" i="65"/>
  <c r="AL48" i="65"/>
  <c r="AK48" i="65"/>
  <c r="AJ48" i="65"/>
  <c r="AI48" i="65"/>
  <c r="AM48" i="65" s="1"/>
  <c r="AN48" i="65" s="1"/>
  <c r="AH48" i="65"/>
  <c r="AG48" i="65"/>
  <c r="AD48" i="65"/>
  <c r="AC48" i="65"/>
  <c r="AE48" i="65" s="1"/>
  <c r="AB48" i="65"/>
  <c r="AA48" i="65"/>
  <c r="Z48" i="65"/>
  <c r="AL47" i="65"/>
  <c r="AK47" i="65"/>
  <c r="AJ47" i="65"/>
  <c r="AI47" i="65"/>
  <c r="AH47" i="65"/>
  <c r="AG47" i="65"/>
  <c r="AM47" i="65" s="1"/>
  <c r="AN47" i="65" s="1"/>
  <c r="AE47" i="65"/>
  <c r="AD47" i="65"/>
  <c r="AC47" i="65"/>
  <c r="AB47" i="65"/>
  <c r="AA47" i="65"/>
  <c r="Z47" i="65"/>
  <c r="AL46" i="65"/>
  <c r="AL113" i="65" s="1"/>
  <c r="AL118" i="65" s="1"/>
  <c r="AK46" i="65"/>
  <c r="AK113" i="65" s="1"/>
  <c r="AK118" i="65" s="1"/>
  <c r="AJ46" i="65"/>
  <c r="AJ113" i="65" s="1"/>
  <c r="AJ118" i="65" s="1"/>
  <c r="AI46" i="65"/>
  <c r="AM46" i="65" s="1"/>
  <c r="AH46" i="65"/>
  <c r="AH113" i="65" s="1"/>
  <c r="AH118" i="65" s="1"/>
  <c r="AG46" i="65"/>
  <c r="AG113" i="65" s="1"/>
  <c r="AG118" i="65" s="1"/>
  <c r="AD46" i="65"/>
  <c r="AD113" i="65" s="1"/>
  <c r="AD118" i="65" s="1"/>
  <c r="AC46" i="65"/>
  <c r="AC113" i="65" s="1"/>
  <c r="AC118" i="65" s="1"/>
  <c r="AB46" i="65"/>
  <c r="AB113" i="65" s="1"/>
  <c r="AB118" i="65" s="1"/>
  <c r="AA46" i="65"/>
  <c r="AA113" i="65" s="1"/>
  <c r="AA118" i="65" s="1"/>
  <c r="Z46" i="65"/>
  <c r="Z113" i="65" s="1"/>
  <c r="Z118" i="65" s="1"/>
  <c r="AL45" i="65"/>
  <c r="AK45" i="65"/>
  <c r="AJ45" i="65"/>
  <c r="AI45" i="65"/>
  <c r="AH45" i="65"/>
  <c r="AG45" i="65"/>
  <c r="AM45" i="65" s="1"/>
  <c r="AN45" i="65" s="1"/>
  <c r="AE45" i="65"/>
  <c r="AD45" i="65"/>
  <c r="AC45" i="65"/>
  <c r="AB45" i="65"/>
  <c r="AA45" i="65"/>
  <c r="Z45" i="65"/>
  <c r="AL44" i="65"/>
  <c r="AK44" i="65"/>
  <c r="AJ44" i="65"/>
  <c r="AI44" i="65"/>
  <c r="AM44" i="65" s="1"/>
  <c r="AN44" i="65" s="1"/>
  <c r="AH44" i="65"/>
  <c r="AG44" i="65"/>
  <c r="AD44" i="65"/>
  <c r="AC44" i="65"/>
  <c r="AE44" i="65" s="1"/>
  <c r="AB44" i="65"/>
  <c r="AA44" i="65"/>
  <c r="Z44" i="65"/>
  <c r="AL43" i="65"/>
  <c r="AK43" i="65"/>
  <c r="AJ43" i="65"/>
  <c r="AI43" i="65"/>
  <c r="AH43" i="65"/>
  <c r="AG43" i="65"/>
  <c r="AM43" i="65" s="1"/>
  <c r="AN43" i="65" s="1"/>
  <c r="AE43" i="65"/>
  <c r="AD43" i="65"/>
  <c r="AC43" i="65"/>
  <c r="AB43" i="65"/>
  <c r="AA43" i="65"/>
  <c r="Z43" i="65"/>
  <c r="AL42" i="65"/>
  <c r="AK42" i="65"/>
  <c r="AJ42" i="65"/>
  <c r="AI42" i="65"/>
  <c r="AM42" i="65" s="1"/>
  <c r="AN42" i="65" s="1"/>
  <c r="AH42" i="65"/>
  <c r="AG42" i="65"/>
  <c r="AD42" i="65"/>
  <c r="AC42" i="65"/>
  <c r="AE42" i="65" s="1"/>
  <c r="AB42" i="65"/>
  <c r="AA42" i="65"/>
  <c r="Z42" i="65"/>
  <c r="AL41" i="65"/>
  <c r="AK41" i="65"/>
  <c r="AJ41" i="65"/>
  <c r="AI41" i="65"/>
  <c r="AH41" i="65"/>
  <c r="AG41" i="65"/>
  <c r="AM41" i="65" s="1"/>
  <c r="AN41" i="65" s="1"/>
  <c r="AE41" i="65"/>
  <c r="AD41" i="65"/>
  <c r="AC41" i="65"/>
  <c r="AB41" i="65"/>
  <c r="AA41" i="65"/>
  <c r="Z41" i="65"/>
  <c r="AL40" i="65"/>
  <c r="AK40" i="65"/>
  <c r="AJ40" i="65"/>
  <c r="AI40" i="65"/>
  <c r="AM40" i="65" s="1"/>
  <c r="AN40" i="65" s="1"/>
  <c r="AH40" i="65"/>
  <c r="AG40" i="65"/>
  <c r="AD40" i="65"/>
  <c r="AC40" i="65"/>
  <c r="AE40" i="65" s="1"/>
  <c r="AB40" i="65"/>
  <c r="AA40" i="65"/>
  <c r="Z40" i="65"/>
  <c r="AL39" i="65"/>
  <c r="AK39" i="65"/>
  <c r="AJ39" i="65"/>
  <c r="AI39" i="65"/>
  <c r="AH39" i="65"/>
  <c r="AG39" i="65"/>
  <c r="AM39" i="65" s="1"/>
  <c r="AN39" i="65" s="1"/>
  <c r="AE39" i="65"/>
  <c r="AD39" i="65"/>
  <c r="AC39" i="65"/>
  <c r="AB39" i="65"/>
  <c r="AA39" i="65"/>
  <c r="Z39" i="65"/>
  <c r="AL38" i="65"/>
  <c r="AK38" i="65"/>
  <c r="AJ38" i="65"/>
  <c r="AI38" i="65"/>
  <c r="AM38" i="65" s="1"/>
  <c r="AN38" i="65" s="1"/>
  <c r="AH38" i="65"/>
  <c r="AG38" i="65"/>
  <c r="AD38" i="65"/>
  <c r="AC38" i="65"/>
  <c r="AE38" i="65" s="1"/>
  <c r="AB38" i="65"/>
  <c r="AA38" i="65"/>
  <c r="Z38" i="65"/>
  <c r="AL37" i="65"/>
  <c r="AL114" i="65" s="1"/>
  <c r="AL119" i="65" s="1"/>
  <c r="AK37" i="65"/>
  <c r="AK114" i="65" s="1"/>
  <c r="AK119" i="65" s="1"/>
  <c r="AJ37" i="65"/>
  <c r="AJ114" i="65" s="1"/>
  <c r="AJ119" i="65" s="1"/>
  <c r="AI37" i="65"/>
  <c r="AI114" i="65" s="1"/>
  <c r="AI119" i="65" s="1"/>
  <c r="AH37" i="65"/>
  <c r="AH114" i="65" s="1"/>
  <c r="AH119" i="65" s="1"/>
  <c r="AG37" i="65"/>
  <c r="AM37" i="65" s="1"/>
  <c r="AE37" i="65"/>
  <c r="AE114" i="65" s="1"/>
  <c r="AE119" i="65" s="1"/>
  <c r="AD37" i="65"/>
  <c r="AD114" i="65" s="1"/>
  <c r="AD119" i="65" s="1"/>
  <c r="AC37" i="65"/>
  <c r="AC114" i="65" s="1"/>
  <c r="AC119" i="65" s="1"/>
  <c r="AB37" i="65"/>
  <c r="AB114" i="65" s="1"/>
  <c r="AB119" i="65" s="1"/>
  <c r="AA37" i="65"/>
  <c r="AA114" i="65" s="1"/>
  <c r="AA119" i="65" s="1"/>
  <c r="Z37" i="65"/>
  <c r="Z114" i="65" s="1"/>
  <c r="Z119" i="65" s="1"/>
  <c r="AL36" i="65"/>
  <c r="AK36" i="65"/>
  <c r="AJ36" i="65"/>
  <c r="AI36" i="65"/>
  <c r="AM36" i="65" s="1"/>
  <c r="AN36" i="65" s="1"/>
  <c r="AH36" i="65"/>
  <c r="AG36" i="65"/>
  <c r="AD36" i="65"/>
  <c r="AC36" i="65"/>
  <c r="AE36" i="65" s="1"/>
  <c r="AB36" i="65"/>
  <c r="AA36" i="65"/>
  <c r="Z36" i="65"/>
  <c r="AL35" i="65"/>
  <c r="AK35" i="65"/>
  <c r="AJ35" i="65"/>
  <c r="AI35" i="65"/>
  <c r="AH35" i="65"/>
  <c r="AG35" i="65"/>
  <c r="AM35" i="65" s="1"/>
  <c r="AN35" i="65" s="1"/>
  <c r="AE35" i="65"/>
  <c r="AD35" i="65"/>
  <c r="AC35" i="65"/>
  <c r="AB35" i="65"/>
  <c r="AA35" i="65"/>
  <c r="Z35" i="65"/>
  <c r="AL34" i="65"/>
  <c r="AK34" i="65"/>
  <c r="AJ34" i="65"/>
  <c r="AI34" i="65"/>
  <c r="AM34" i="65" s="1"/>
  <c r="AN34" i="65" s="1"/>
  <c r="AH34" i="65"/>
  <c r="AG34" i="65"/>
  <c r="AD34" i="65"/>
  <c r="AC34" i="65"/>
  <c r="AE34" i="65" s="1"/>
  <c r="AB34" i="65"/>
  <c r="AA34" i="65"/>
  <c r="Z34" i="65"/>
  <c r="AL33" i="65"/>
  <c r="AK33" i="65"/>
  <c r="AJ33" i="65"/>
  <c r="AI33" i="65"/>
  <c r="AH33" i="65"/>
  <c r="AG33" i="65"/>
  <c r="AM33" i="65" s="1"/>
  <c r="AN33" i="65" s="1"/>
  <c r="AE33" i="65"/>
  <c r="AD33" i="65"/>
  <c r="AC33" i="65"/>
  <c r="AB33" i="65"/>
  <c r="AA33" i="65"/>
  <c r="Z33" i="65"/>
  <c r="AL32" i="65"/>
  <c r="AK32" i="65"/>
  <c r="AJ32" i="65"/>
  <c r="AI32" i="65"/>
  <c r="AM32" i="65" s="1"/>
  <c r="AN32" i="65" s="1"/>
  <c r="AH32" i="65"/>
  <c r="AG32" i="65"/>
  <c r="AD32" i="65"/>
  <c r="AC32" i="65"/>
  <c r="AE32" i="65" s="1"/>
  <c r="AB32" i="65"/>
  <c r="AA32" i="65"/>
  <c r="Z32" i="65"/>
  <c r="AL31" i="65"/>
  <c r="AK31" i="65"/>
  <c r="AJ31" i="65"/>
  <c r="AI31" i="65"/>
  <c r="AH31" i="65"/>
  <c r="AG31" i="65"/>
  <c r="AM31" i="65" s="1"/>
  <c r="AN31" i="65" s="1"/>
  <c r="AE31" i="65"/>
  <c r="AD31" i="65"/>
  <c r="AC31" i="65"/>
  <c r="AB31" i="65"/>
  <c r="AA31" i="65"/>
  <c r="Z31" i="65"/>
  <c r="AL30" i="65"/>
  <c r="AK30" i="65"/>
  <c r="AJ30" i="65"/>
  <c r="AI30" i="65"/>
  <c r="AM30" i="65" s="1"/>
  <c r="AN30" i="65" s="1"/>
  <c r="AH30" i="65"/>
  <c r="AG30" i="65"/>
  <c r="AD30" i="65"/>
  <c r="AC30" i="65"/>
  <c r="AE30" i="65" s="1"/>
  <c r="AB30" i="65"/>
  <c r="AA30" i="65"/>
  <c r="Z30" i="65"/>
  <c r="AL29" i="65"/>
  <c r="AK29" i="65"/>
  <c r="AJ29" i="65"/>
  <c r="AI29" i="65"/>
  <c r="AH29" i="65"/>
  <c r="AG29" i="65"/>
  <c r="AM29" i="65" s="1"/>
  <c r="AN29" i="65" s="1"/>
  <c r="AE29" i="65"/>
  <c r="AD29" i="65"/>
  <c r="AC29" i="65"/>
  <c r="AB29" i="65"/>
  <c r="AA29" i="65"/>
  <c r="Z29" i="65"/>
  <c r="AL28" i="65"/>
  <c r="AK28" i="65"/>
  <c r="AJ28" i="65"/>
  <c r="AI28" i="65"/>
  <c r="AM28" i="65" s="1"/>
  <c r="AN28" i="65" s="1"/>
  <c r="AH28" i="65"/>
  <c r="AG28" i="65"/>
  <c r="AD28" i="65"/>
  <c r="AC28" i="65"/>
  <c r="AE28" i="65" s="1"/>
  <c r="AB28" i="65"/>
  <c r="AA28" i="65"/>
  <c r="Z28" i="65"/>
  <c r="AL27" i="65"/>
  <c r="AK27" i="65"/>
  <c r="AJ27" i="65"/>
  <c r="AI27" i="65"/>
  <c r="AH27" i="65"/>
  <c r="AG27" i="65"/>
  <c r="AM27" i="65" s="1"/>
  <c r="AN27" i="65" s="1"/>
  <c r="AE27" i="65"/>
  <c r="AD27" i="65"/>
  <c r="AC27" i="65"/>
  <c r="AB27" i="65"/>
  <c r="AA27" i="65"/>
  <c r="Z27" i="65"/>
  <c r="AL26" i="65"/>
  <c r="AK26" i="65"/>
  <c r="AJ26" i="65"/>
  <c r="AI26" i="65"/>
  <c r="AM26" i="65" s="1"/>
  <c r="AN26" i="65" s="1"/>
  <c r="AH26" i="65"/>
  <c r="AG26" i="65"/>
  <c r="AD26" i="65"/>
  <c r="AC26" i="65"/>
  <c r="AE26" i="65" s="1"/>
  <c r="AB26" i="65"/>
  <c r="AA26" i="65"/>
  <c r="Z26" i="65"/>
  <c r="AL25" i="65"/>
  <c r="AK25" i="65"/>
  <c r="AJ25" i="65"/>
  <c r="AI25" i="65"/>
  <c r="AH25" i="65"/>
  <c r="AG25" i="65"/>
  <c r="AM25" i="65" s="1"/>
  <c r="AN25" i="65" s="1"/>
  <c r="AE25" i="65"/>
  <c r="AD25" i="65"/>
  <c r="AC25" i="65"/>
  <c r="AB25" i="65"/>
  <c r="AA25" i="65"/>
  <c r="Z25" i="65"/>
  <c r="AL24" i="65"/>
  <c r="AK24" i="65"/>
  <c r="AJ24" i="65"/>
  <c r="AI24" i="65"/>
  <c r="AM24" i="65" s="1"/>
  <c r="AN24" i="65" s="1"/>
  <c r="AH24" i="65"/>
  <c r="AG24" i="65"/>
  <c r="AD24" i="65"/>
  <c r="AC24" i="65"/>
  <c r="AE24" i="65" s="1"/>
  <c r="AB24" i="65"/>
  <c r="AA24" i="65"/>
  <c r="Z24" i="65"/>
  <c r="AL23" i="65"/>
  <c r="AK23" i="65"/>
  <c r="AJ23" i="65"/>
  <c r="AI23" i="65"/>
  <c r="AH23" i="65"/>
  <c r="AG23" i="65"/>
  <c r="AM23" i="65" s="1"/>
  <c r="AN23" i="65" s="1"/>
  <c r="AE23" i="65"/>
  <c r="AD23" i="65"/>
  <c r="AC23" i="65"/>
  <c r="AB23" i="65"/>
  <c r="AA23" i="65"/>
  <c r="Z23" i="65"/>
  <c r="AL22" i="65"/>
  <c r="AK22" i="65"/>
  <c r="AJ22" i="65"/>
  <c r="AI22" i="65"/>
  <c r="AM22" i="65" s="1"/>
  <c r="AN22" i="65" s="1"/>
  <c r="AH22" i="65"/>
  <c r="AG22" i="65"/>
  <c r="AD22" i="65"/>
  <c r="AC22" i="65"/>
  <c r="AE22" i="65" s="1"/>
  <c r="AB22" i="65"/>
  <c r="AA22" i="65"/>
  <c r="Z22" i="65"/>
  <c r="AL21" i="65"/>
  <c r="AK21" i="65"/>
  <c r="AJ21" i="65"/>
  <c r="AI21" i="65"/>
  <c r="AH21" i="65"/>
  <c r="AG21" i="65"/>
  <c r="AM21" i="65" s="1"/>
  <c r="AN21" i="65" s="1"/>
  <c r="AE21" i="65"/>
  <c r="AD21" i="65"/>
  <c r="AC21" i="65"/>
  <c r="AB21" i="65"/>
  <c r="AA21" i="65"/>
  <c r="Z21" i="65"/>
  <c r="AL20" i="65"/>
  <c r="AK20" i="65"/>
  <c r="AJ20" i="65"/>
  <c r="AI20" i="65"/>
  <c r="AM20" i="65" s="1"/>
  <c r="AN20" i="65" s="1"/>
  <c r="AH20" i="65"/>
  <c r="AG20" i="65"/>
  <c r="AD20" i="65"/>
  <c r="AC20" i="65"/>
  <c r="AE20" i="65" s="1"/>
  <c r="AB20" i="65"/>
  <c r="AA20" i="65"/>
  <c r="Z20" i="65"/>
  <c r="AL19" i="65"/>
  <c r="AK19" i="65"/>
  <c r="AJ19" i="65"/>
  <c r="AI19" i="65"/>
  <c r="AH19" i="65"/>
  <c r="AG19" i="65"/>
  <c r="AM19" i="65" s="1"/>
  <c r="AN19" i="65" s="1"/>
  <c r="AE19" i="65"/>
  <c r="AD19" i="65"/>
  <c r="AC19" i="65"/>
  <c r="AB19" i="65"/>
  <c r="AA19" i="65"/>
  <c r="Z19" i="65"/>
  <c r="AL18" i="65"/>
  <c r="AK18" i="65"/>
  <c r="AJ18" i="65"/>
  <c r="AI18" i="65"/>
  <c r="AM18" i="65" s="1"/>
  <c r="AN18" i="65" s="1"/>
  <c r="AH18" i="65"/>
  <c r="AG18" i="65"/>
  <c r="AD18" i="65"/>
  <c r="AC18" i="65"/>
  <c r="AE18" i="65" s="1"/>
  <c r="AB18" i="65"/>
  <c r="AA18" i="65"/>
  <c r="Z18" i="65"/>
  <c r="AL17" i="65"/>
  <c r="AK17" i="65"/>
  <c r="AJ17" i="65"/>
  <c r="AI17" i="65"/>
  <c r="AH17" i="65"/>
  <c r="AG17" i="65"/>
  <c r="AM17" i="65" s="1"/>
  <c r="AN17" i="65" s="1"/>
  <c r="AE17" i="65"/>
  <c r="AD17" i="65"/>
  <c r="AC17" i="65"/>
  <c r="AB17" i="65"/>
  <c r="AA17" i="65"/>
  <c r="Z17" i="65"/>
  <c r="AL16" i="65"/>
  <c r="AK16" i="65"/>
  <c r="AJ16" i="65"/>
  <c r="AI16" i="65"/>
  <c r="AM16" i="65" s="1"/>
  <c r="AN16" i="65" s="1"/>
  <c r="AH16" i="65"/>
  <c r="AG16" i="65"/>
  <c r="AD16" i="65"/>
  <c r="AC16" i="65"/>
  <c r="AE16" i="65" s="1"/>
  <c r="AB16" i="65"/>
  <c r="AA16" i="65"/>
  <c r="Z16" i="65"/>
  <c r="AL15" i="65"/>
  <c r="AK15" i="65"/>
  <c r="AK110" i="65" s="1"/>
  <c r="AJ15" i="65"/>
  <c r="AJ110" i="65" s="1"/>
  <c r="AI15" i="65"/>
  <c r="AI110" i="65" s="1"/>
  <c r="AH15" i="65"/>
  <c r="AG15" i="65"/>
  <c r="AM15" i="65" s="1"/>
  <c r="AE15" i="65"/>
  <c r="AE110" i="65" s="1"/>
  <c r="AD15" i="65"/>
  <c r="AD110" i="65" s="1"/>
  <c r="AC15" i="65"/>
  <c r="AB15" i="65"/>
  <c r="AB110" i="65" s="1"/>
  <c r="AA15" i="65"/>
  <c r="AA110" i="65" s="1"/>
  <c r="Z15" i="65"/>
  <c r="Z110" i="65" s="1"/>
  <c r="AL14" i="65"/>
  <c r="AK14" i="65"/>
  <c r="AJ14" i="65"/>
  <c r="AI14" i="65"/>
  <c r="AM14" i="65" s="1"/>
  <c r="AN14" i="65" s="1"/>
  <c r="AH14" i="65"/>
  <c r="AG14" i="65"/>
  <c r="AD14" i="65"/>
  <c r="AC14" i="65"/>
  <c r="AE14" i="65" s="1"/>
  <c r="AB14" i="65"/>
  <c r="AA14" i="65"/>
  <c r="Z14" i="65"/>
  <c r="AL13" i="65"/>
  <c r="AK13" i="65"/>
  <c r="AJ13" i="65"/>
  <c r="AI13" i="65"/>
  <c r="AH13" i="65"/>
  <c r="AG13" i="65"/>
  <c r="AM13" i="65" s="1"/>
  <c r="AN13" i="65" s="1"/>
  <c r="AE13" i="65"/>
  <c r="AD13" i="65"/>
  <c r="AC13" i="65"/>
  <c r="AB13" i="65"/>
  <c r="AA13" i="65"/>
  <c r="Z13" i="65"/>
  <c r="AL12" i="65"/>
  <c r="AK12" i="65"/>
  <c r="AJ12" i="65"/>
  <c r="AI12" i="65"/>
  <c r="AM12" i="65" s="1"/>
  <c r="AN12" i="65" s="1"/>
  <c r="AH12" i="65"/>
  <c r="AG12" i="65"/>
  <c r="AD12" i="65"/>
  <c r="AC12" i="65"/>
  <c r="AE12" i="65" s="1"/>
  <c r="AB12" i="65"/>
  <c r="AA12" i="65"/>
  <c r="Z12" i="65"/>
  <c r="AL11" i="65"/>
  <c r="AK11" i="65"/>
  <c r="AJ11" i="65"/>
  <c r="AI11" i="65"/>
  <c r="AH11" i="65"/>
  <c r="AG11" i="65"/>
  <c r="AM11" i="65" s="1"/>
  <c r="AN11" i="65" s="1"/>
  <c r="AE11" i="65"/>
  <c r="AD11" i="65"/>
  <c r="AC11" i="65"/>
  <c r="AB11" i="65"/>
  <c r="AA11" i="65"/>
  <c r="Z11" i="65"/>
  <c r="AL10" i="65"/>
  <c r="AL109" i="65" s="1"/>
  <c r="AK10" i="65"/>
  <c r="AK109" i="65" s="1"/>
  <c r="AJ10" i="65"/>
  <c r="AI10" i="65"/>
  <c r="AM10" i="65" s="1"/>
  <c r="AH10" i="65"/>
  <c r="AH109" i="65" s="1"/>
  <c r="AG10" i="65"/>
  <c r="AG109" i="65" s="1"/>
  <c r="AD10" i="65"/>
  <c r="AD109" i="65" s="1"/>
  <c r="AC10" i="65"/>
  <c r="AC109" i="65" s="1"/>
  <c r="AB10" i="65"/>
  <c r="AB109" i="65" s="1"/>
  <c r="AA10" i="65"/>
  <c r="Z10" i="65"/>
  <c r="Z109" i="65" s="1"/>
  <c r="AL9" i="65"/>
  <c r="AK9" i="65"/>
  <c r="AJ9" i="65"/>
  <c r="AI9" i="65"/>
  <c r="AH9" i="65"/>
  <c r="AG9" i="65"/>
  <c r="AM9" i="65" s="1"/>
  <c r="AN9" i="65" s="1"/>
  <c r="AE9" i="65"/>
  <c r="AD9" i="65"/>
  <c r="AC9" i="65"/>
  <c r="AB9" i="65"/>
  <c r="AA9" i="65"/>
  <c r="Z9" i="65"/>
  <c r="AL8" i="65"/>
  <c r="AK8" i="65"/>
  <c r="AJ8" i="65"/>
  <c r="AI8" i="65"/>
  <c r="AM8" i="65" s="1"/>
  <c r="AN8" i="65" s="1"/>
  <c r="AH8" i="65"/>
  <c r="AG8" i="65"/>
  <c r="AD8" i="65"/>
  <c r="AC8" i="65"/>
  <c r="AE8" i="65" s="1"/>
  <c r="AB8" i="65"/>
  <c r="AA8" i="65"/>
  <c r="Z8" i="65"/>
  <c r="AL7" i="65"/>
  <c r="AK7" i="65"/>
  <c r="AJ7" i="65"/>
  <c r="AI7" i="65"/>
  <c r="AH7" i="65"/>
  <c r="AG7" i="65"/>
  <c r="AM7" i="65" s="1"/>
  <c r="AN7" i="65" s="1"/>
  <c r="AE7" i="65"/>
  <c r="AD7" i="65"/>
  <c r="AC7" i="65"/>
  <c r="AB7" i="65"/>
  <c r="AA7" i="65"/>
  <c r="Z7" i="65"/>
  <c r="AL6" i="65"/>
  <c r="AK6" i="65"/>
  <c r="AJ6" i="65"/>
  <c r="AI6" i="65"/>
  <c r="AM6" i="65" s="1"/>
  <c r="AN6" i="65" s="1"/>
  <c r="AH6" i="65"/>
  <c r="AG6" i="65"/>
  <c r="AD6" i="65"/>
  <c r="AC6" i="65"/>
  <c r="AE6" i="65" s="1"/>
  <c r="AB6" i="65"/>
  <c r="AA6" i="65"/>
  <c r="Z6" i="65"/>
  <c r="AL5" i="65"/>
  <c r="AK5" i="65"/>
  <c r="AJ5" i="65"/>
  <c r="AI5" i="65"/>
  <c r="AH5" i="65"/>
  <c r="AG5" i="65"/>
  <c r="AM5" i="65" s="1"/>
  <c r="AN5" i="65" s="1"/>
  <c r="AE5" i="65"/>
  <c r="AD5" i="65"/>
  <c r="AC5" i="65"/>
  <c r="AB5" i="65"/>
  <c r="AA5" i="65"/>
  <c r="Z5" i="65"/>
  <c r="AL4" i="65"/>
  <c r="AL112" i="65" s="1"/>
  <c r="AK4" i="65"/>
  <c r="AK112" i="65" s="1"/>
  <c r="AJ4" i="65"/>
  <c r="AJ112" i="65" s="1"/>
  <c r="AI4" i="65"/>
  <c r="AI112" i="65" s="1"/>
  <c r="AH4" i="65"/>
  <c r="AH112" i="65" s="1"/>
  <c r="AG4" i="65"/>
  <c r="AG112" i="65" s="1"/>
  <c r="AD4" i="65"/>
  <c r="AD112" i="65" s="1"/>
  <c r="AC4" i="65"/>
  <c r="AE4" i="65" s="1"/>
  <c r="AE112" i="65" s="1"/>
  <c r="AB4" i="65"/>
  <c r="AB112" i="65" s="1"/>
  <c r="AA4" i="65"/>
  <c r="AA112" i="65" s="1"/>
  <c r="Z4" i="65"/>
  <c r="Z112" i="65" s="1"/>
  <c r="AL3" i="65"/>
  <c r="AL111" i="65" s="1"/>
  <c r="AK3" i="65"/>
  <c r="AK111" i="65" s="1"/>
  <c r="AJ3" i="65"/>
  <c r="AJ111" i="65" s="1"/>
  <c r="AI3" i="65"/>
  <c r="AI105" i="65" s="1"/>
  <c r="AH3" i="65"/>
  <c r="AH111" i="65" s="1"/>
  <c r="AG3" i="65"/>
  <c r="AM3" i="65" s="1"/>
  <c r="AE3" i="65"/>
  <c r="AD3" i="65"/>
  <c r="AD105" i="65" s="1"/>
  <c r="AC3" i="65"/>
  <c r="AC111" i="65" s="1"/>
  <c r="AB3" i="65"/>
  <c r="AB111" i="65" s="1"/>
  <c r="AA3" i="65"/>
  <c r="AA111" i="65" s="1"/>
  <c r="Z3" i="65"/>
  <c r="Z105" i="65" s="1"/>
  <c r="X148" i="64"/>
  <c r="U148" i="64"/>
  <c r="Y151" i="64" s="1"/>
  <c r="T148" i="64"/>
  <c r="K148" i="64"/>
  <c r="AF137" i="64"/>
  <c r="AE137" i="64"/>
  <c r="AD137" i="64"/>
  <c r="AC137" i="64"/>
  <c r="AB137" i="64"/>
  <c r="AA137" i="64"/>
  <c r="Q120" i="64"/>
  <c r="P120" i="64"/>
  <c r="N120" i="64"/>
  <c r="M120" i="64"/>
  <c r="L120" i="64"/>
  <c r="K120" i="64"/>
  <c r="J120" i="64"/>
  <c r="J121" i="64" s="1"/>
  <c r="I120" i="64"/>
  <c r="H120" i="64"/>
  <c r="G120" i="64"/>
  <c r="F120" i="64"/>
  <c r="E120" i="64"/>
  <c r="D120" i="64"/>
  <c r="C120" i="64"/>
  <c r="J117" i="64"/>
  <c r="P107" i="64"/>
  <c r="P106" i="64"/>
  <c r="P105" i="64"/>
  <c r="P104" i="64"/>
  <c r="P103" i="64"/>
  <c r="O103" i="64"/>
  <c r="N103" i="64"/>
  <c r="M103" i="64"/>
  <c r="L103" i="64"/>
  <c r="K103" i="64"/>
  <c r="J103" i="64"/>
  <c r="I103" i="64"/>
  <c r="H103" i="64"/>
  <c r="G103" i="64"/>
  <c r="F103" i="64"/>
  <c r="E103" i="64"/>
  <c r="D103" i="64"/>
  <c r="C103" i="64"/>
  <c r="AI95" i="64"/>
  <c r="AI97" i="64" s="1"/>
  <c r="AI136" i="64" s="1"/>
  <c r="AH95" i="64"/>
  <c r="AH97" i="64" s="1"/>
  <c r="AH136" i="64" s="1"/>
  <c r="AG95" i="64"/>
  <c r="AG97" i="64" s="1"/>
  <c r="AG136" i="64" s="1"/>
  <c r="Y95" i="64"/>
  <c r="Y97" i="64" s="1"/>
  <c r="X95" i="64"/>
  <c r="W95" i="64"/>
  <c r="V95" i="64"/>
  <c r="U95" i="64"/>
  <c r="U97" i="64" s="1"/>
  <c r="T95" i="64"/>
  <c r="S95" i="64"/>
  <c r="O93" i="64"/>
  <c r="O95" i="64" s="1"/>
  <c r="L93" i="64"/>
  <c r="L95" i="64" s="1"/>
  <c r="J93" i="64"/>
  <c r="J95" i="64" s="1"/>
  <c r="I93" i="64"/>
  <c r="I95" i="64" s="1"/>
  <c r="AI91" i="64"/>
  <c r="AH91" i="64"/>
  <c r="AG91" i="64"/>
  <c r="Y91" i="64"/>
  <c r="X91" i="64"/>
  <c r="W91" i="64"/>
  <c r="W97" i="64" s="1"/>
  <c r="V91" i="64"/>
  <c r="V97" i="64" s="1"/>
  <c r="U91" i="64"/>
  <c r="T91" i="64"/>
  <c r="S91" i="64"/>
  <c r="S97" i="64" s="1"/>
  <c r="Q89" i="64"/>
  <c r="O89" i="64"/>
  <c r="N89" i="64"/>
  <c r="L89" i="64"/>
  <c r="L108" i="64" s="1"/>
  <c r="K89" i="64"/>
  <c r="K108" i="64" s="1"/>
  <c r="J89" i="64"/>
  <c r="J108" i="64" s="1"/>
  <c r="I89" i="64"/>
  <c r="I108" i="64" s="1"/>
  <c r="O88" i="64"/>
  <c r="N88" i="64"/>
  <c r="M88" i="64"/>
  <c r="Q87" i="64"/>
  <c r="O87" i="64"/>
  <c r="L87" i="64"/>
  <c r="K87" i="64"/>
  <c r="J87" i="64"/>
  <c r="I87" i="64"/>
  <c r="Q86" i="64"/>
  <c r="O86" i="64"/>
  <c r="L86" i="64"/>
  <c r="K86" i="64"/>
  <c r="J86" i="64"/>
  <c r="I86" i="64"/>
  <c r="Q85" i="64"/>
  <c r="O85" i="64"/>
  <c r="L85" i="64"/>
  <c r="K85" i="64"/>
  <c r="J85" i="64"/>
  <c r="I85" i="64"/>
  <c r="Q84" i="64"/>
  <c r="O84" i="64"/>
  <c r="L84" i="64"/>
  <c r="K84" i="64"/>
  <c r="J84" i="64"/>
  <c r="I84" i="64"/>
  <c r="O83" i="64"/>
  <c r="L83" i="64"/>
  <c r="K83" i="64"/>
  <c r="J83" i="64"/>
  <c r="I83" i="64"/>
  <c r="O82" i="64"/>
  <c r="L82" i="64"/>
  <c r="K82" i="64"/>
  <c r="J82" i="64"/>
  <c r="I82" i="64"/>
  <c r="Q81" i="64"/>
  <c r="O81" i="64"/>
  <c r="L81" i="64"/>
  <c r="K81" i="64"/>
  <c r="J81" i="64"/>
  <c r="I81" i="64"/>
  <c r="O80" i="64"/>
  <c r="L80" i="64"/>
  <c r="K80" i="64"/>
  <c r="J80" i="64"/>
  <c r="I80" i="64"/>
  <c r="Q79" i="64"/>
  <c r="O79" i="64"/>
  <c r="L79" i="64"/>
  <c r="K79" i="64"/>
  <c r="J79" i="64"/>
  <c r="I79" i="64"/>
  <c r="O78" i="64"/>
  <c r="L78" i="64"/>
  <c r="J78" i="64"/>
  <c r="I78" i="64"/>
  <c r="O77" i="64"/>
  <c r="L77" i="64"/>
  <c r="K77" i="64"/>
  <c r="J77" i="64"/>
  <c r="I77" i="64"/>
  <c r="Q76" i="64"/>
  <c r="O76" i="64"/>
  <c r="L76" i="64"/>
  <c r="K76" i="64"/>
  <c r="J76" i="64"/>
  <c r="I76" i="64"/>
  <c r="AI74" i="64"/>
  <c r="AH74" i="64"/>
  <c r="AG74" i="64"/>
  <c r="Y74" i="64"/>
  <c r="X74" i="64"/>
  <c r="X97" i="64" s="1"/>
  <c r="W74" i="64"/>
  <c r="V74" i="64"/>
  <c r="U74" i="64"/>
  <c r="T74" i="64"/>
  <c r="T97" i="64" s="1"/>
  <c r="S74" i="64"/>
  <c r="Q72" i="64"/>
  <c r="O72" i="64"/>
  <c r="N72" i="64"/>
  <c r="L72" i="64"/>
  <c r="L109" i="64" s="1"/>
  <c r="K72" i="64"/>
  <c r="K109" i="64" s="1"/>
  <c r="J72" i="64"/>
  <c r="J109" i="64" s="1"/>
  <c r="I72" i="64"/>
  <c r="I109" i="64" s="1"/>
  <c r="F72" i="64"/>
  <c r="F109" i="64" s="1"/>
  <c r="O71" i="64"/>
  <c r="L71" i="64"/>
  <c r="K71" i="64"/>
  <c r="J71" i="64"/>
  <c r="I71" i="64"/>
  <c r="F71" i="64"/>
  <c r="O70" i="64"/>
  <c r="L70" i="64"/>
  <c r="K70" i="64"/>
  <c r="J70" i="64"/>
  <c r="I70" i="64"/>
  <c r="F70" i="64"/>
  <c r="O69" i="64"/>
  <c r="L69" i="64"/>
  <c r="K69" i="64"/>
  <c r="J69" i="64"/>
  <c r="I69" i="64"/>
  <c r="F69" i="64"/>
  <c r="O68" i="64"/>
  <c r="L68" i="64"/>
  <c r="K68" i="64"/>
  <c r="J68" i="64"/>
  <c r="I68" i="64"/>
  <c r="F68" i="64"/>
  <c r="O67" i="64"/>
  <c r="L67" i="64"/>
  <c r="K67" i="64"/>
  <c r="J67" i="64"/>
  <c r="I67" i="64"/>
  <c r="F67" i="64"/>
  <c r="O66" i="64"/>
  <c r="L66" i="64"/>
  <c r="K66" i="64"/>
  <c r="J66" i="64"/>
  <c r="I66" i="64"/>
  <c r="F66" i="64"/>
  <c r="O65" i="64"/>
  <c r="L65" i="64"/>
  <c r="K65" i="64"/>
  <c r="J65" i="64"/>
  <c r="I65" i="64"/>
  <c r="F65" i="64"/>
  <c r="Q64" i="64"/>
  <c r="O64" i="64"/>
  <c r="L64" i="64"/>
  <c r="K64" i="64"/>
  <c r="J64" i="64"/>
  <c r="I64" i="64"/>
  <c r="F64" i="64"/>
  <c r="O63" i="64"/>
  <c r="L63" i="64"/>
  <c r="K63" i="64"/>
  <c r="J63" i="64"/>
  <c r="I63" i="64"/>
  <c r="F63" i="64"/>
  <c r="O62" i="64"/>
  <c r="L62" i="64"/>
  <c r="K62" i="64"/>
  <c r="J62" i="64"/>
  <c r="I62" i="64"/>
  <c r="F62" i="64"/>
  <c r="Q61" i="64"/>
  <c r="O61" i="64"/>
  <c r="L61" i="64"/>
  <c r="K61" i="64"/>
  <c r="J61" i="64"/>
  <c r="I61" i="64"/>
  <c r="F61" i="64"/>
  <c r="O60" i="64"/>
  <c r="L60" i="64"/>
  <c r="K60" i="64"/>
  <c r="J60" i="64"/>
  <c r="I60" i="64"/>
  <c r="F60" i="64"/>
  <c r="O59" i="64"/>
  <c r="L59" i="64"/>
  <c r="K59" i="64"/>
  <c r="J59" i="64"/>
  <c r="I59" i="64"/>
  <c r="F59" i="64"/>
  <c r="O58" i="64"/>
  <c r="L58" i="64"/>
  <c r="K58" i="64"/>
  <c r="J58" i="64"/>
  <c r="I58" i="64"/>
  <c r="F58" i="64"/>
  <c r="O57" i="64"/>
  <c r="L57" i="64"/>
  <c r="K57" i="64"/>
  <c r="J57" i="64"/>
  <c r="I57" i="64"/>
  <c r="F57" i="64"/>
  <c r="O56" i="64"/>
  <c r="L56" i="64"/>
  <c r="K56" i="64"/>
  <c r="J56" i="64"/>
  <c r="I56" i="64"/>
  <c r="F56" i="64"/>
  <c r="O55" i="64"/>
  <c r="L55" i="64"/>
  <c r="K55" i="64"/>
  <c r="J55" i="64"/>
  <c r="I55" i="64"/>
  <c r="F55" i="64"/>
  <c r="O54" i="64"/>
  <c r="L54" i="64"/>
  <c r="K54" i="64"/>
  <c r="J54" i="64"/>
  <c r="I54" i="64"/>
  <c r="F54" i="64"/>
  <c r="O53" i="64"/>
  <c r="L53" i="64"/>
  <c r="K53" i="64"/>
  <c r="J53" i="64"/>
  <c r="I53" i="64"/>
  <c r="F53" i="64"/>
  <c r="O52" i="64"/>
  <c r="L52" i="64"/>
  <c r="K52" i="64"/>
  <c r="J52" i="64"/>
  <c r="I52" i="64"/>
  <c r="F52" i="64"/>
  <c r="O51" i="64"/>
  <c r="L51" i="64"/>
  <c r="K51" i="64"/>
  <c r="J51" i="64"/>
  <c r="I51" i="64"/>
  <c r="F51" i="64"/>
  <c r="O50" i="64"/>
  <c r="L50" i="64"/>
  <c r="K50" i="64"/>
  <c r="J50" i="64"/>
  <c r="I50" i="64"/>
  <c r="F50" i="64"/>
  <c r="O49" i="64"/>
  <c r="L49" i="64"/>
  <c r="K49" i="64"/>
  <c r="J49" i="64"/>
  <c r="I49" i="64"/>
  <c r="F49" i="64"/>
  <c r="O48" i="64"/>
  <c r="L48" i="64"/>
  <c r="K48" i="64"/>
  <c r="J48" i="64"/>
  <c r="I48" i="64"/>
  <c r="F48" i="64"/>
  <c r="O47" i="64"/>
  <c r="L47" i="64"/>
  <c r="K47" i="64"/>
  <c r="J47" i="64"/>
  <c r="I47" i="64"/>
  <c r="F47" i="64"/>
  <c r="O46" i="64"/>
  <c r="L46" i="64"/>
  <c r="K46" i="64"/>
  <c r="J46" i="64"/>
  <c r="I46" i="64"/>
  <c r="F46" i="64"/>
  <c r="O45" i="64"/>
  <c r="L45" i="64"/>
  <c r="K45" i="64"/>
  <c r="J45" i="64"/>
  <c r="I45" i="64"/>
  <c r="F45" i="64"/>
  <c r="O44" i="64"/>
  <c r="L44" i="64"/>
  <c r="K44" i="64"/>
  <c r="J44" i="64"/>
  <c r="I44" i="64"/>
  <c r="F44" i="64"/>
  <c r="O43" i="64"/>
  <c r="L43" i="64"/>
  <c r="K43" i="64"/>
  <c r="J43" i="64"/>
  <c r="I43" i="64"/>
  <c r="F43" i="64"/>
  <c r="O42" i="64"/>
  <c r="L42" i="64"/>
  <c r="K42" i="64"/>
  <c r="J42" i="64"/>
  <c r="I42" i="64"/>
  <c r="F42" i="64"/>
  <c r="O41" i="64"/>
  <c r="L41" i="64"/>
  <c r="K41" i="64"/>
  <c r="J41" i="64"/>
  <c r="I41" i="64"/>
  <c r="F41" i="64"/>
  <c r="O40" i="64"/>
  <c r="L40" i="64"/>
  <c r="K40" i="64"/>
  <c r="J40" i="64"/>
  <c r="I40" i="64"/>
  <c r="F40" i="64"/>
  <c r="Q39" i="64"/>
  <c r="O39" i="64"/>
  <c r="L39" i="64"/>
  <c r="K39" i="64"/>
  <c r="J39" i="64"/>
  <c r="I39" i="64"/>
  <c r="F39" i="64"/>
  <c r="O38" i="64"/>
  <c r="L38" i="64"/>
  <c r="K38" i="64"/>
  <c r="J38" i="64"/>
  <c r="I38" i="64"/>
  <c r="F38" i="64"/>
  <c r="O37" i="64"/>
  <c r="L37" i="64"/>
  <c r="K37" i="64"/>
  <c r="J37" i="64"/>
  <c r="I37" i="64"/>
  <c r="F37" i="64"/>
  <c r="O36" i="64"/>
  <c r="L36" i="64"/>
  <c r="K36" i="64"/>
  <c r="J36" i="64"/>
  <c r="I36" i="64"/>
  <c r="F36" i="64"/>
  <c r="O35" i="64"/>
  <c r="L35" i="64"/>
  <c r="K35" i="64"/>
  <c r="J35" i="64"/>
  <c r="I35" i="64"/>
  <c r="F35" i="64"/>
  <c r="O34" i="64"/>
  <c r="L34" i="64"/>
  <c r="K34" i="64"/>
  <c r="J34" i="64"/>
  <c r="I34" i="64"/>
  <c r="F34" i="64"/>
  <c r="O33" i="64"/>
  <c r="L33" i="64"/>
  <c r="K33" i="64"/>
  <c r="J33" i="64"/>
  <c r="I33" i="64"/>
  <c r="F33" i="64"/>
  <c r="O32" i="64"/>
  <c r="L32" i="64"/>
  <c r="K32" i="64"/>
  <c r="J32" i="64"/>
  <c r="I32" i="64"/>
  <c r="F32" i="64"/>
  <c r="O31" i="64"/>
  <c r="L31" i="64"/>
  <c r="K31" i="64"/>
  <c r="J31" i="64"/>
  <c r="I31" i="64"/>
  <c r="F31" i="64"/>
  <c r="Q30" i="64"/>
  <c r="O30" i="64"/>
  <c r="L30" i="64"/>
  <c r="K30" i="64"/>
  <c r="J30" i="64"/>
  <c r="I30" i="64"/>
  <c r="F30" i="64"/>
  <c r="O29" i="64"/>
  <c r="L29" i="64"/>
  <c r="K29" i="64"/>
  <c r="J29" i="64"/>
  <c r="I29" i="64"/>
  <c r="F29" i="64"/>
  <c r="O28" i="64"/>
  <c r="L28" i="64"/>
  <c r="K28" i="64"/>
  <c r="J28" i="64"/>
  <c r="I28" i="64"/>
  <c r="F28" i="64"/>
  <c r="O27" i="64"/>
  <c r="L27" i="64"/>
  <c r="K27" i="64"/>
  <c r="J27" i="64"/>
  <c r="I27" i="64"/>
  <c r="F27" i="64"/>
  <c r="O26" i="64"/>
  <c r="L26" i="64"/>
  <c r="K26" i="64"/>
  <c r="J26" i="64"/>
  <c r="I26" i="64"/>
  <c r="F26" i="64"/>
  <c r="O25" i="64"/>
  <c r="L25" i="64"/>
  <c r="K25" i="64"/>
  <c r="J25" i="64"/>
  <c r="I25" i="64"/>
  <c r="F25" i="64"/>
  <c r="O24" i="64"/>
  <c r="L24" i="64"/>
  <c r="K24" i="64"/>
  <c r="J24" i="64"/>
  <c r="I24" i="64"/>
  <c r="F24" i="64"/>
  <c r="O23" i="64"/>
  <c r="L23" i="64"/>
  <c r="K23" i="64"/>
  <c r="J23" i="64"/>
  <c r="I23" i="64"/>
  <c r="F23" i="64"/>
  <c r="O22" i="64"/>
  <c r="L22" i="64"/>
  <c r="K22" i="64"/>
  <c r="J22" i="64"/>
  <c r="I22" i="64"/>
  <c r="F22" i="64"/>
  <c r="O21" i="64"/>
  <c r="L21" i="64"/>
  <c r="K21" i="64"/>
  <c r="J21" i="64"/>
  <c r="I21" i="64"/>
  <c r="F21" i="64"/>
  <c r="O20" i="64"/>
  <c r="L20" i="64"/>
  <c r="K20" i="64"/>
  <c r="J20" i="64"/>
  <c r="I20" i="64"/>
  <c r="F20" i="64"/>
  <c r="O19" i="64"/>
  <c r="L19" i="64"/>
  <c r="K19" i="64"/>
  <c r="J19" i="64"/>
  <c r="I19" i="64"/>
  <c r="F19" i="64"/>
  <c r="O18" i="64"/>
  <c r="L18" i="64"/>
  <c r="K18" i="64"/>
  <c r="J18" i="64"/>
  <c r="I18" i="64"/>
  <c r="F18" i="64"/>
  <c r="O17" i="64"/>
  <c r="L17" i="64"/>
  <c r="K17" i="64"/>
  <c r="J17" i="64"/>
  <c r="I17" i="64"/>
  <c r="F17" i="64"/>
  <c r="O16" i="64"/>
  <c r="L16" i="64"/>
  <c r="K16" i="64"/>
  <c r="J16" i="64"/>
  <c r="I16" i="64"/>
  <c r="F16" i="64"/>
  <c r="O15" i="64"/>
  <c r="L15" i="64"/>
  <c r="K15" i="64"/>
  <c r="J15" i="64"/>
  <c r="I15" i="64"/>
  <c r="F15" i="64"/>
  <c r="O14" i="64"/>
  <c r="L14" i="64"/>
  <c r="K14" i="64"/>
  <c r="J14" i="64"/>
  <c r="I14" i="64"/>
  <c r="F14" i="64"/>
  <c r="Q13" i="64"/>
  <c r="O13" i="64"/>
  <c r="L13" i="64"/>
  <c r="K13" i="64"/>
  <c r="J13" i="64"/>
  <c r="I13" i="64"/>
  <c r="F13" i="64"/>
  <c r="O12" i="64"/>
  <c r="L12" i="64"/>
  <c r="K12" i="64"/>
  <c r="J12" i="64"/>
  <c r="I12" i="64"/>
  <c r="F12" i="64"/>
  <c r="Q11" i="64"/>
  <c r="O11" i="64"/>
  <c r="L11" i="64"/>
  <c r="K11" i="64"/>
  <c r="J11" i="64"/>
  <c r="I11" i="64"/>
  <c r="F11" i="64"/>
  <c r="O10" i="64"/>
  <c r="L10" i="64"/>
  <c r="K10" i="64"/>
  <c r="J10" i="64"/>
  <c r="I10" i="64"/>
  <c r="F10" i="64"/>
  <c r="O9" i="64"/>
  <c r="L9" i="64"/>
  <c r="K9" i="64"/>
  <c r="J9" i="64"/>
  <c r="I9" i="64"/>
  <c r="F9" i="64"/>
  <c r="O8" i="64"/>
  <c r="L8" i="64"/>
  <c r="K8" i="64"/>
  <c r="J8" i="64"/>
  <c r="I8" i="64"/>
  <c r="F8" i="64"/>
  <c r="O7" i="64"/>
  <c r="L7" i="64"/>
  <c r="K7" i="64"/>
  <c r="J7" i="64"/>
  <c r="I7" i="64"/>
  <c r="F7" i="64"/>
  <c r="O6" i="64"/>
  <c r="L6" i="64"/>
  <c r="K6" i="64"/>
  <c r="J6" i="64"/>
  <c r="I6" i="64"/>
  <c r="F6" i="64"/>
  <c r="O5" i="64"/>
  <c r="L5" i="64"/>
  <c r="K5" i="64"/>
  <c r="J5" i="64"/>
  <c r="I5" i="64"/>
  <c r="F5" i="64"/>
  <c r="O4" i="64"/>
  <c r="L4" i="64"/>
  <c r="K4" i="64"/>
  <c r="J4" i="64"/>
  <c r="I4" i="64"/>
  <c r="F4" i="64"/>
  <c r="O3" i="64"/>
  <c r="L3" i="64"/>
  <c r="K3" i="64"/>
  <c r="J3" i="64"/>
  <c r="I3" i="64"/>
  <c r="F3" i="64"/>
  <c r="Q2" i="64"/>
  <c r="O2" i="64"/>
  <c r="L2" i="64"/>
  <c r="K2" i="64"/>
  <c r="J2" i="64"/>
  <c r="I2" i="64"/>
  <c r="F2" i="64"/>
  <c r="D106" i="72" l="1"/>
  <c r="D86" i="72"/>
  <c r="F86" i="72" s="1"/>
  <c r="L91" i="64"/>
  <c r="L74" i="64"/>
  <c r="C67" i="68"/>
  <c r="R67" i="68" s="1"/>
  <c r="D16" i="72"/>
  <c r="F16" i="72" s="1"/>
  <c r="G16" i="72" s="1"/>
  <c r="O91" i="64"/>
  <c r="K74" i="64"/>
  <c r="J74" i="64"/>
  <c r="J91" i="64"/>
  <c r="I74" i="64"/>
  <c r="I91" i="64"/>
  <c r="D16" i="71"/>
  <c r="F16" i="71" s="1"/>
  <c r="O74" i="64"/>
  <c r="AP52" i="66"/>
  <c r="D49" i="71" s="1"/>
  <c r="F49" i="71" s="1"/>
  <c r="AA54" i="66"/>
  <c r="AE54" i="66"/>
  <c r="AI54" i="66"/>
  <c r="AA33" i="66"/>
  <c r="AE33" i="66"/>
  <c r="AI33" i="66"/>
  <c r="Y65" i="66"/>
  <c r="AC65" i="66"/>
  <c r="AG65" i="66"/>
  <c r="H68" i="66"/>
  <c r="AA68" i="66"/>
  <c r="AE68" i="66"/>
  <c r="AI68" i="66"/>
  <c r="AA23" i="66"/>
  <c r="AE23" i="66"/>
  <c r="AI23" i="66"/>
  <c r="AC53" i="66"/>
  <c r="H78" i="66"/>
  <c r="AA78" i="66"/>
  <c r="AE78" i="66"/>
  <c r="G83" i="66"/>
  <c r="AP53" i="66"/>
  <c r="D50" i="71" s="1"/>
  <c r="F50" i="71" s="1"/>
  <c r="Z82" i="66"/>
  <c r="AD82" i="66"/>
  <c r="AH82" i="66"/>
  <c r="AO82" i="66"/>
  <c r="C91" i="71" s="1"/>
  <c r="E91" i="71" s="1"/>
  <c r="H53" i="66"/>
  <c r="AA53" i="66"/>
  <c r="AE53" i="66"/>
  <c r="AI53" i="66"/>
  <c r="Z63" i="66"/>
  <c r="AD63" i="66"/>
  <c r="AH63" i="66"/>
  <c r="H65" i="66"/>
  <c r="AE65" i="66"/>
  <c r="Z83" i="66"/>
  <c r="AD83" i="66"/>
  <c r="AH83" i="66"/>
  <c r="X22" i="66"/>
  <c r="AB22" i="66"/>
  <c r="AF22" i="66"/>
  <c r="AO22" i="66"/>
  <c r="C81" i="71" s="1"/>
  <c r="E81" i="71" s="1"/>
  <c r="AE24" i="66"/>
  <c r="AD28" i="66"/>
  <c r="H31" i="66"/>
  <c r="AA31" i="66"/>
  <c r="AI31" i="66"/>
  <c r="AP49" i="66"/>
  <c r="D46" i="71" s="1"/>
  <c r="F46" i="71" s="1"/>
  <c r="AA51" i="66"/>
  <c r="AP57" i="66"/>
  <c r="D54" i="71" s="1"/>
  <c r="F54" i="71" s="1"/>
  <c r="H74" i="66"/>
  <c r="AA74" i="66"/>
  <c r="AE74" i="66"/>
  <c r="AE6" i="66"/>
  <c r="H13" i="66"/>
  <c r="AA13" i="66"/>
  <c r="AE13" i="66"/>
  <c r="AI13" i="66"/>
  <c r="AA15" i="66"/>
  <c r="AE15" i="66"/>
  <c r="AI15" i="66"/>
  <c r="AA16" i="66"/>
  <c r="AE16" i="66"/>
  <c r="AI16" i="66"/>
  <c r="H18" i="66"/>
  <c r="AA18" i="66"/>
  <c r="AE18" i="66"/>
  <c r="AI18" i="66"/>
  <c r="G20" i="66"/>
  <c r="C24" i="68" s="1"/>
  <c r="R24" i="68" s="1"/>
  <c r="Z20" i="66"/>
  <c r="E24" i="68" s="1"/>
  <c r="V24" i="68" s="1"/>
  <c r="AD20" i="66"/>
  <c r="G24" i="68" s="1"/>
  <c r="Z24" i="68" s="1"/>
  <c r="AH20" i="66"/>
  <c r="I24" i="68" s="1"/>
  <c r="AD24" i="68" s="1"/>
  <c r="H21" i="66"/>
  <c r="AA21" i="66"/>
  <c r="AE21" i="66"/>
  <c r="AI21" i="66"/>
  <c r="Z26" i="66"/>
  <c r="AH26" i="66"/>
  <c r="AO28" i="66"/>
  <c r="C83" i="71" s="1"/>
  <c r="E83" i="71" s="1"/>
  <c r="H29" i="66"/>
  <c r="AA29" i="66"/>
  <c r="AI29" i="66"/>
  <c r="AP48" i="66"/>
  <c r="D45" i="71" s="1"/>
  <c r="F45" i="71" s="1"/>
  <c r="H49" i="66"/>
  <c r="AA49" i="66"/>
  <c r="AE49" i="66"/>
  <c r="AI49" i="66"/>
  <c r="H50" i="66"/>
  <c r="AA50" i="66"/>
  <c r="AE50" i="66"/>
  <c r="AI50" i="66"/>
  <c r="H57" i="66"/>
  <c r="AA57" i="66"/>
  <c r="AE57" i="66"/>
  <c r="AI57" i="66"/>
  <c r="G5" i="66"/>
  <c r="C8" i="68" s="1"/>
  <c r="R8" i="68" s="1"/>
  <c r="AD5" i="66"/>
  <c r="G8" i="68" s="1"/>
  <c r="Z8" i="68" s="1"/>
  <c r="H8" i="66"/>
  <c r="AA8" i="66"/>
  <c r="AE8" i="66"/>
  <c r="AI8" i="66"/>
  <c r="H10" i="66"/>
  <c r="AA10" i="66"/>
  <c r="AE10" i="66"/>
  <c r="AI10" i="66"/>
  <c r="AC27" i="66"/>
  <c r="Z28" i="66"/>
  <c r="Y31" i="66"/>
  <c r="AC31" i="66"/>
  <c r="AG31" i="66"/>
  <c r="H48" i="66"/>
  <c r="AA48" i="66"/>
  <c r="AE48" i="66"/>
  <c r="AI48" i="66"/>
  <c r="AC49" i="66"/>
  <c r="AC57" i="66"/>
  <c r="AA69" i="66"/>
  <c r="AE69" i="66"/>
  <c r="AI69" i="66"/>
  <c r="H75" i="66"/>
  <c r="AA75" i="66"/>
  <c r="AE75" i="66"/>
  <c r="AI75" i="66"/>
  <c r="K90" i="79"/>
  <c r="L90" i="79" s="1"/>
  <c r="F85" i="64"/>
  <c r="H5" i="66"/>
  <c r="AA5" i="66"/>
  <c r="AE5" i="66"/>
  <c r="AI5" i="66"/>
  <c r="AA7" i="66"/>
  <c r="AE7" i="66"/>
  <c r="AI7" i="66"/>
  <c r="H9" i="66"/>
  <c r="AA9" i="66"/>
  <c r="AE9" i="66"/>
  <c r="AI9" i="66"/>
  <c r="H12" i="66"/>
  <c r="AA12" i="66"/>
  <c r="AE12" i="66"/>
  <c r="AI12" i="66"/>
  <c r="H32" i="66"/>
  <c r="AA32" i="66"/>
  <c r="AE32" i="66"/>
  <c r="AI32" i="66"/>
  <c r="AP35" i="66"/>
  <c r="D37" i="71" s="1"/>
  <c r="F37" i="71" s="1"/>
  <c r="G40" i="66"/>
  <c r="Z40" i="66"/>
  <c r="AD40" i="66"/>
  <c r="AH40" i="66"/>
  <c r="H46" i="66"/>
  <c r="C86" i="68" s="1"/>
  <c r="S86" i="68" s="1"/>
  <c r="AE46" i="66"/>
  <c r="G86" i="68" s="1"/>
  <c r="AA86" i="68" s="1"/>
  <c r="BC46" i="66"/>
  <c r="C87" i="69" s="1"/>
  <c r="D87" i="69" s="1"/>
  <c r="AP55" i="66"/>
  <c r="D52" i="71" s="1"/>
  <c r="F52" i="71" s="1"/>
  <c r="AO91" i="66"/>
  <c r="C93" i="71" s="1"/>
  <c r="E93" i="71" s="1"/>
  <c r="AH5" i="66"/>
  <c r="I8" i="68" s="1"/>
  <c r="AD8" i="68" s="1"/>
  <c r="AP31" i="66"/>
  <c r="D33" i="71" s="1"/>
  <c r="F33" i="71" s="1"/>
  <c r="AC32" i="66"/>
  <c r="H35" i="66"/>
  <c r="AA35" i="66"/>
  <c r="AE35" i="66"/>
  <c r="AI35" i="66"/>
  <c r="AA46" i="66"/>
  <c r="E86" i="68" s="1"/>
  <c r="W86" i="68" s="1"/>
  <c r="X47" i="66"/>
  <c r="AB47" i="66"/>
  <c r="AF47" i="66"/>
  <c r="AO47" i="66"/>
  <c r="C88" i="71" s="1"/>
  <c r="E88" i="71" s="1"/>
  <c r="AA55" i="66"/>
  <c r="AA59" i="66"/>
  <c r="AI59" i="66"/>
  <c r="AA60" i="66"/>
  <c r="AE60" i="66"/>
  <c r="AI60" i="66"/>
  <c r="AI65" i="66"/>
  <c r="H67" i="66"/>
  <c r="C89" i="68" s="1"/>
  <c r="S89" i="68" s="1"/>
  <c r="AA67" i="66"/>
  <c r="E89" i="68" s="1"/>
  <c r="W89" i="68" s="1"/>
  <c r="AE67" i="66"/>
  <c r="G89" i="68" s="1"/>
  <c r="AA89" i="68" s="1"/>
  <c r="AI67" i="66"/>
  <c r="I89" i="68" s="1"/>
  <c r="AE89" i="68" s="1"/>
  <c r="AY67" i="66"/>
  <c r="D108" i="72" s="1"/>
  <c r="D110" i="72" s="1"/>
  <c r="H71" i="66"/>
  <c r="AA71" i="66"/>
  <c r="AE71" i="66"/>
  <c r="AI71" i="66"/>
  <c r="Z73" i="66"/>
  <c r="E67" i="68" s="1"/>
  <c r="V67" i="68" s="1"/>
  <c r="AD73" i="66"/>
  <c r="G67" i="68" s="1"/>
  <c r="Z67" i="68" s="1"/>
  <c r="AH73" i="66"/>
  <c r="I67" i="68" s="1"/>
  <c r="AD67" i="68" s="1"/>
  <c r="BC73" i="66"/>
  <c r="C68" i="69" s="1"/>
  <c r="D68" i="69" s="1"/>
  <c r="G91" i="66"/>
  <c r="AP36" i="66"/>
  <c r="D38" i="71" s="1"/>
  <c r="F38" i="71" s="1"/>
  <c r="H80" i="66"/>
  <c r="AA80" i="66"/>
  <c r="AE80" i="66"/>
  <c r="AI80" i="66"/>
  <c r="F82" i="64"/>
  <c r="AP32" i="66"/>
  <c r="D34" i="71" s="1"/>
  <c r="F34" i="71" s="1"/>
  <c r="Y35" i="66"/>
  <c r="AC35" i="66"/>
  <c r="AO40" i="66"/>
  <c r="C85" i="71" s="1"/>
  <c r="E85" i="71" s="1"/>
  <c r="AD43" i="66"/>
  <c r="AP46" i="66"/>
  <c r="D87" i="71" s="1"/>
  <c r="F87" i="71" s="1"/>
  <c r="G47" i="66"/>
  <c r="Z47" i="66"/>
  <c r="AD47" i="66"/>
  <c r="AH47" i="66"/>
  <c r="Y60" i="66"/>
  <c r="AC60" i="66"/>
  <c r="AG60" i="66"/>
  <c r="AP60" i="66"/>
  <c r="D57" i="71" s="1"/>
  <c r="F57" i="71" s="1"/>
  <c r="AP68" i="66"/>
  <c r="D63" i="71" s="1"/>
  <c r="F63" i="71" s="1"/>
  <c r="Y76" i="66"/>
  <c r="BG79" i="66"/>
  <c r="C98" i="70" s="1"/>
  <c r="D98" i="70" s="1"/>
  <c r="Y4" i="66"/>
  <c r="AG4" i="66"/>
  <c r="Y14" i="66"/>
  <c r="AC14" i="66"/>
  <c r="AG14" i="66"/>
  <c r="AP14" i="66"/>
  <c r="D19" i="71" s="1"/>
  <c r="F19" i="71" s="1"/>
  <c r="Y26" i="66"/>
  <c r="D81" i="68" s="1"/>
  <c r="AC26" i="66"/>
  <c r="F81" i="68" s="1"/>
  <c r="Y81" i="68" s="1"/>
  <c r="BG26" i="66"/>
  <c r="C82" i="70" s="1"/>
  <c r="D82" i="70" s="1"/>
  <c r="AI34" i="66"/>
  <c r="H38" i="66"/>
  <c r="AI38" i="66"/>
  <c r="Y38" i="66"/>
  <c r="AC38" i="66"/>
  <c r="AG38" i="66"/>
  <c r="AE38" i="66"/>
  <c r="Y41" i="66"/>
  <c r="AC41" i="66"/>
  <c r="AG41" i="66"/>
  <c r="Y58" i="66"/>
  <c r="AC58" i="66"/>
  <c r="AG58" i="66"/>
  <c r="Y61" i="66"/>
  <c r="AC61" i="66"/>
  <c r="Y66" i="66"/>
  <c r="AC66" i="66"/>
  <c r="AG66" i="66"/>
  <c r="AP66" i="66"/>
  <c r="D62" i="71" s="1"/>
  <c r="F62" i="71" s="1"/>
  <c r="AP70" i="66"/>
  <c r="D65" i="71" s="1"/>
  <c r="F65" i="71" s="1"/>
  <c r="H70" i="66"/>
  <c r="X84" i="66"/>
  <c r="D75" i="68" s="1"/>
  <c r="T75" i="68" s="1"/>
  <c r="AF84" i="66"/>
  <c r="H75" i="68" s="1"/>
  <c r="AB75" i="68" s="1"/>
  <c r="F74" i="64"/>
  <c r="AP4" i="66"/>
  <c r="D8" i="71" s="1"/>
  <c r="F8" i="71" s="1"/>
  <c r="X9" i="66"/>
  <c r="D12" i="68" s="1"/>
  <c r="T12" i="68" s="1"/>
  <c r="AF9" i="66"/>
  <c r="H12" i="68" s="1"/>
  <c r="AB12" i="68" s="1"/>
  <c r="AO9" i="66"/>
  <c r="C13" i="71" s="1"/>
  <c r="E13" i="71" s="1"/>
  <c r="Y11" i="66"/>
  <c r="AC11" i="66"/>
  <c r="AG11" i="66"/>
  <c r="X13" i="66"/>
  <c r="D16" i="68" s="1"/>
  <c r="T16" i="68" s="1"/>
  <c r="AB13" i="66"/>
  <c r="F16" i="68" s="1"/>
  <c r="X16" i="68" s="1"/>
  <c r="AF13" i="66"/>
  <c r="H16" i="68" s="1"/>
  <c r="AB16" i="68" s="1"/>
  <c r="AO13" i="66"/>
  <c r="C17" i="71" s="1"/>
  <c r="E17" i="71" s="1"/>
  <c r="Y24" i="66"/>
  <c r="AC24" i="66"/>
  <c r="AG24" i="66"/>
  <c r="AP26" i="66"/>
  <c r="D82" i="71" s="1"/>
  <c r="F82" i="71" s="1"/>
  <c r="BC40" i="66"/>
  <c r="C85" i="69" s="1"/>
  <c r="D85" i="69" s="1"/>
  <c r="AA40" i="66"/>
  <c r="E84" i="68" s="1"/>
  <c r="W84" i="68" s="1"/>
  <c r="Y40" i="66"/>
  <c r="D84" i="68" s="1"/>
  <c r="U84" i="68" s="1"/>
  <c r="AG40" i="66"/>
  <c r="H84" i="68" s="1"/>
  <c r="AC84" i="68" s="1"/>
  <c r="X46" i="66"/>
  <c r="AB46" i="66"/>
  <c r="H51" i="66"/>
  <c r="AI51" i="66"/>
  <c r="AC51" i="66"/>
  <c r="AG51" i="66"/>
  <c r="AE51" i="66"/>
  <c r="AP56" i="66"/>
  <c r="D53" i="71" s="1"/>
  <c r="F53" i="71" s="1"/>
  <c r="H56" i="66"/>
  <c r="Y72" i="66"/>
  <c r="AC72" i="66"/>
  <c r="Y81" i="66"/>
  <c r="AC81" i="66"/>
  <c r="AG81" i="66"/>
  <c r="AP81" i="66"/>
  <c r="D75" i="71" s="1"/>
  <c r="F75" i="71" s="1"/>
  <c r="H4" i="66"/>
  <c r="AA4" i="66"/>
  <c r="AE4" i="66"/>
  <c r="AI4" i="66"/>
  <c r="X5" i="66"/>
  <c r="D8" i="68" s="1"/>
  <c r="AB5" i="66"/>
  <c r="F8" i="68" s="1"/>
  <c r="X8" i="68" s="1"/>
  <c r="AF5" i="66"/>
  <c r="H8" i="68" s="1"/>
  <c r="AB8" i="68" s="1"/>
  <c r="Z5" i="66"/>
  <c r="E8" i="68" s="1"/>
  <c r="V8" i="68" s="1"/>
  <c r="AA6" i="66"/>
  <c r="Y7" i="66"/>
  <c r="AC7" i="66"/>
  <c r="AG7" i="66"/>
  <c r="AC8" i="66"/>
  <c r="Y9" i="66"/>
  <c r="AC9" i="66"/>
  <c r="AG9" i="66"/>
  <c r="Y10" i="66"/>
  <c r="Y13" i="66"/>
  <c r="AC13" i="66"/>
  <c r="AG13" i="66"/>
  <c r="BC13" i="66"/>
  <c r="C17" i="69" s="1"/>
  <c r="D17" i="69" s="1"/>
  <c r="H14" i="66"/>
  <c r="AA14" i="66"/>
  <c r="AE14" i="66"/>
  <c r="AI14" i="66"/>
  <c r="Y15" i="66"/>
  <c r="AC15" i="66"/>
  <c r="AG15" i="66"/>
  <c r="Y16" i="66"/>
  <c r="AC16" i="66"/>
  <c r="AG16" i="66"/>
  <c r="AA19" i="66"/>
  <c r="AE19" i="66"/>
  <c r="AI19" i="66"/>
  <c r="AA20" i="66"/>
  <c r="AE20" i="66"/>
  <c r="AI20" i="66"/>
  <c r="G22" i="66"/>
  <c r="Z22" i="66"/>
  <c r="AD22" i="66"/>
  <c r="AH22" i="66"/>
  <c r="Y23" i="66"/>
  <c r="AC23" i="66"/>
  <c r="AG23" i="66"/>
  <c r="H25" i="66"/>
  <c r="AE25" i="66"/>
  <c r="H26" i="66"/>
  <c r="C81" i="68" s="1"/>
  <c r="S81" i="68" s="1"/>
  <c r="AA26" i="66"/>
  <c r="E81" i="68" s="1"/>
  <c r="W81" i="68" s="1"/>
  <c r="AE26" i="66"/>
  <c r="G81" i="68" s="1"/>
  <c r="AA81" i="68" s="1"/>
  <c r="AI26" i="66"/>
  <c r="I81" i="68" s="1"/>
  <c r="AE81" i="68" s="1"/>
  <c r="BC26" i="66"/>
  <c r="C82" i="69" s="1"/>
  <c r="D82" i="69" s="1"/>
  <c r="AH28" i="66"/>
  <c r="AE29" i="66"/>
  <c r="Y32" i="66"/>
  <c r="Y33" i="66"/>
  <c r="AG33" i="66"/>
  <c r="AP33" i="66"/>
  <c r="D35" i="71" s="1"/>
  <c r="F35" i="71" s="1"/>
  <c r="AE34" i="66"/>
  <c r="AE37" i="66"/>
  <c r="G39" i="66"/>
  <c r="Z39" i="66"/>
  <c r="AD39" i="66"/>
  <c r="AH39" i="66"/>
  <c r="AP40" i="66"/>
  <c r="D85" i="71" s="1"/>
  <c r="F85" i="71" s="1"/>
  <c r="AC42" i="66"/>
  <c r="Z43" i="66"/>
  <c r="AO43" i="66"/>
  <c r="C86" i="71" s="1"/>
  <c r="E86" i="71" s="1"/>
  <c r="AA44" i="66"/>
  <c r="AE44" i="66"/>
  <c r="AI44" i="66"/>
  <c r="H45" i="66"/>
  <c r="AP45" i="66"/>
  <c r="D44" i="71" s="1"/>
  <c r="F44" i="71" s="1"/>
  <c r="AA45" i="66"/>
  <c r="Y46" i="66"/>
  <c r="D86" i="68" s="1"/>
  <c r="U86" i="68" s="1"/>
  <c r="Y52" i="66"/>
  <c r="AC52" i="66"/>
  <c r="AG52" i="66"/>
  <c r="H58" i="66"/>
  <c r="AA58" i="66"/>
  <c r="AE58" i="66"/>
  <c r="H61" i="66"/>
  <c r="AA61" i="66"/>
  <c r="AE61" i="66"/>
  <c r="AI61" i="66"/>
  <c r="H66" i="66"/>
  <c r="AA66" i="66"/>
  <c r="AE66" i="66"/>
  <c r="AI66" i="66"/>
  <c r="Y67" i="66"/>
  <c r="D89" i="68" s="1"/>
  <c r="AC67" i="66"/>
  <c r="F89" i="68" s="1"/>
  <c r="Y89" i="68" s="1"/>
  <c r="AG67" i="66"/>
  <c r="H89" i="68" s="1"/>
  <c r="AC89" i="68" s="1"/>
  <c r="AP67" i="66"/>
  <c r="D90" i="71" s="1"/>
  <c r="F90" i="71" s="1"/>
  <c r="BC67" i="66"/>
  <c r="C90" i="69" s="1"/>
  <c r="D90" i="69" s="1"/>
  <c r="Z69" i="66"/>
  <c r="E63" i="68" s="1"/>
  <c r="V63" i="68" s="1"/>
  <c r="AD69" i="66"/>
  <c r="G63" i="68" s="1"/>
  <c r="Z63" i="68" s="1"/>
  <c r="AH69" i="66"/>
  <c r="I63" i="68" s="1"/>
  <c r="AD63" i="68" s="1"/>
  <c r="BC69" i="66"/>
  <c r="C64" i="69" s="1"/>
  <c r="D64" i="69" s="1"/>
  <c r="AA73" i="66"/>
  <c r="AE73" i="66"/>
  <c r="AI73" i="66"/>
  <c r="AA77" i="66"/>
  <c r="AE77" i="66"/>
  <c r="AI77" i="66"/>
  <c r="Z84" i="66"/>
  <c r="E75" i="68" s="1"/>
  <c r="V75" i="68" s="1"/>
  <c r="AD84" i="66"/>
  <c r="G75" i="68" s="1"/>
  <c r="Z75" i="68" s="1"/>
  <c r="AH84" i="66"/>
  <c r="I75" i="68" s="1"/>
  <c r="AD75" i="68" s="1"/>
  <c r="AO84" i="66"/>
  <c r="C76" i="71" s="1"/>
  <c r="E76" i="71" s="1"/>
  <c r="G76" i="71" s="1"/>
  <c r="Y19" i="66"/>
  <c r="AC19" i="66"/>
  <c r="AG19" i="66"/>
  <c r="Y20" i="66"/>
  <c r="AC20" i="66"/>
  <c r="AG20" i="66"/>
  <c r="Y25" i="66"/>
  <c r="AP25" i="66"/>
  <c r="D29" i="71" s="1"/>
  <c r="F29" i="71" s="1"/>
  <c r="Y30" i="66"/>
  <c r="AC30" i="66"/>
  <c r="AG30" i="66"/>
  <c r="AE30" i="66"/>
  <c r="AP30" i="66"/>
  <c r="D32" i="71" s="1"/>
  <c r="F32" i="71" s="1"/>
  <c r="AP41" i="66"/>
  <c r="D41" i="71" s="1"/>
  <c r="F41" i="71" s="1"/>
  <c r="H41" i="66"/>
  <c r="Y44" i="66"/>
  <c r="AG44" i="66"/>
  <c r="AP44" i="66"/>
  <c r="D43" i="71" s="1"/>
  <c r="F43" i="71" s="1"/>
  <c r="Y73" i="66"/>
  <c r="AC73" i="66"/>
  <c r="AG73" i="66"/>
  <c r="Y77" i="66"/>
  <c r="AC77" i="66"/>
  <c r="AG77" i="66"/>
  <c r="AB84" i="66"/>
  <c r="F75" i="68" s="1"/>
  <c r="X75" i="68" s="1"/>
  <c r="AC10" i="66"/>
  <c r="X16" i="66"/>
  <c r="D20" i="68" s="1"/>
  <c r="T20" i="68" s="1"/>
  <c r="AB16" i="66"/>
  <c r="F20" i="68" s="1"/>
  <c r="X20" i="68" s="1"/>
  <c r="AF16" i="66"/>
  <c r="H20" i="68" s="1"/>
  <c r="AB20" i="68" s="1"/>
  <c r="AO16" i="66"/>
  <c r="C21" i="71" s="1"/>
  <c r="E21" i="71" s="1"/>
  <c r="Y17" i="66"/>
  <c r="AC17" i="66"/>
  <c r="AG17" i="66"/>
  <c r="Y27" i="66"/>
  <c r="AI30" i="66"/>
  <c r="Y51" i="66"/>
  <c r="P88" i="64"/>
  <c r="Q88" i="64" s="1"/>
  <c r="R88" i="64" s="1"/>
  <c r="Z88" i="64" s="1"/>
  <c r="Y5" i="66"/>
  <c r="AC5" i="66"/>
  <c r="AG5" i="66"/>
  <c r="Y6" i="66"/>
  <c r="AC6" i="66"/>
  <c r="AG6" i="66"/>
  <c r="AI6" i="66"/>
  <c r="Z9" i="66"/>
  <c r="E12" i="68" s="1"/>
  <c r="V12" i="68" s="1"/>
  <c r="AH9" i="66"/>
  <c r="I12" i="68" s="1"/>
  <c r="AD12" i="68" s="1"/>
  <c r="AP10" i="66"/>
  <c r="D14" i="71" s="1"/>
  <c r="F14" i="71" s="1"/>
  <c r="AA11" i="66"/>
  <c r="AE11" i="66"/>
  <c r="AI11" i="66"/>
  <c r="Y12" i="66"/>
  <c r="AC12" i="66"/>
  <c r="AG12" i="66"/>
  <c r="G13" i="66"/>
  <c r="C16" i="68" s="1"/>
  <c r="R16" i="68" s="1"/>
  <c r="Z13" i="66"/>
  <c r="E16" i="68" s="1"/>
  <c r="V16" i="68" s="1"/>
  <c r="AD13" i="66"/>
  <c r="G16" i="68" s="1"/>
  <c r="Z16" i="68" s="1"/>
  <c r="AH13" i="66"/>
  <c r="I16" i="68" s="1"/>
  <c r="AD16" i="68" s="1"/>
  <c r="G16" i="66"/>
  <c r="C20" i="68" s="1"/>
  <c r="R20" i="68" s="1"/>
  <c r="Z16" i="66"/>
  <c r="E20" i="68" s="1"/>
  <c r="V20" i="68" s="1"/>
  <c r="AD16" i="66"/>
  <c r="G20" i="68" s="1"/>
  <c r="Z20" i="68" s="1"/>
  <c r="AH16" i="66"/>
  <c r="I20" i="68" s="1"/>
  <c r="AD20" i="68" s="1"/>
  <c r="AX16" i="66"/>
  <c r="C107" i="72" s="1"/>
  <c r="H17" i="66"/>
  <c r="AA17" i="66"/>
  <c r="AE17" i="66"/>
  <c r="AI17" i="66"/>
  <c r="Y18" i="66"/>
  <c r="AC18" i="66"/>
  <c r="AG18" i="66"/>
  <c r="AP18" i="66"/>
  <c r="D23" i="71" s="1"/>
  <c r="F23" i="71" s="1"/>
  <c r="X20" i="66"/>
  <c r="D24" i="68" s="1"/>
  <c r="AB20" i="66"/>
  <c r="F24" i="68" s="1"/>
  <c r="X24" i="68" s="1"/>
  <c r="AF20" i="66"/>
  <c r="H24" i="68" s="1"/>
  <c r="AB24" i="68" s="1"/>
  <c r="AO20" i="66"/>
  <c r="C25" i="71" s="1"/>
  <c r="E25" i="71" s="1"/>
  <c r="Y21" i="66"/>
  <c r="AC21" i="66"/>
  <c r="AG21" i="66"/>
  <c r="AA24" i="66"/>
  <c r="AI24" i="66"/>
  <c r="X26" i="66"/>
  <c r="H27" i="66"/>
  <c r="AA27" i="66"/>
  <c r="AE27" i="66"/>
  <c r="AI27" i="66"/>
  <c r="AP27" i="66"/>
  <c r="D30" i="71" s="1"/>
  <c r="F30" i="71" s="1"/>
  <c r="Y29" i="66"/>
  <c r="AC29" i="66"/>
  <c r="AG29" i="66"/>
  <c r="AA30" i="66"/>
  <c r="AA34" i="66"/>
  <c r="AP34" i="66"/>
  <c r="D36" i="71" s="1"/>
  <c r="F36" i="71" s="1"/>
  <c r="Y36" i="66"/>
  <c r="AG36" i="66"/>
  <c r="Y37" i="66"/>
  <c r="AC37" i="66"/>
  <c r="AG37" i="66"/>
  <c r="AA38" i="66"/>
  <c r="AP38" i="66"/>
  <c r="D40" i="71" s="1"/>
  <c r="F40" i="71" s="1"/>
  <c r="H40" i="66"/>
  <c r="C84" i="68" s="1"/>
  <c r="S84" i="68" s="1"/>
  <c r="AE41" i="66"/>
  <c r="Y42" i="66"/>
  <c r="AH43" i="66"/>
  <c r="Y50" i="66"/>
  <c r="AC50" i="66"/>
  <c r="AG50" i="66"/>
  <c r="AP50" i="66"/>
  <c r="D47" i="71" s="1"/>
  <c r="F47" i="71" s="1"/>
  <c r="AA64" i="66"/>
  <c r="AE64" i="66"/>
  <c r="AI64" i="66"/>
  <c r="AI70" i="66"/>
  <c r="Y71" i="66"/>
  <c r="AC71" i="66"/>
  <c r="AG71" i="66"/>
  <c r="AP71" i="66"/>
  <c r="D66" i="71" s="1"/>
  <c r="F66" i="71" s="1"/>
  <c r="H72" i="66"/>
  <c r="AA72" i="66"/>
  <c r="AE72" i="66"/>
  <c r="AI72" i="66"/>
  <c r="H81" i="66"/>
  <c r="AA81" i="66"/>
  <c r="AE81" i="66"/>
  <c r="AI81" i="66"/>
  <c r="H36" i="66"/>
  <c r="AA36" i="66"/>
  <c r="AE36" i="66"/>
  <c r="AI36" i="66"/>
  <c r="H37" i="66"/>
  <c r="AA37" i="66"/>
  <c r="AI37" i="66"/>
  <c r="X39" i="66"/>
  <c r="AB39" i="66"/>
  <c r="AF39" i="66"/>
  <c r="AO39" i="66"/>
  <c r="C84" i="71" s="1"/>
  <c r="E84" i="71" s="1"/>
  <c r="X40" i="66"/>
  <c r="AB40" i="66"/>
  <c r="AA41" i="66"/>
  <c r="AI41" i="66"/>
  <c r="H42" i="66"/>
  <c r="AA42" i="66"/>
  <c r="AE42" i="66"/>
  <c r="AI42" i="66"/>
  <c r="AP42" i="66"/>
  <c r="D42" i="71" s="1"/>
  <c r="F42" i="71" s="1"/>
  <c r="G46" i="66"/>
  <c r="Z46" i="66"/>
  <c r="AD46" i="66"/>
  <c r="AH46" i="66"/>
  <c r="AO46" i="66"/>
  <c r="C87" i="71" s="1"/>
  <c r="E87" i="71" s="1"/>
  <c r="Y48" i="66"/>
  <c r="AC48" i="66"/>
  <c r="Y49" i="66"/>
  <c r="AA52" i="66"/>
  <c r="AE52" i="66"/>
  <c r="AI52" i="66"/>
  <c r="Y53" i="66"/>
  <c r="Y54" i="66"/>
  <c r="AG54" i="66"/>
  <c r="AP54" i="66"/>
  <c r="D51" i="71" s="1"/>
  <c r="F51" i="71" s="1"/>
  <c r="Y56" i="66"/>
  <c r="AC56" i="66"/>
  <c r="Y57" i="66"/>
  <c r="Y68" i="66"/>
  <c r="AC68" i="66"/>
  <c r="Y69" i="66"/>
  <c r="AC69" i="66"/>
  <c r="AG69" i="66"/>
  <c r="AI74" i="66"/>
  <c r="Y75" i="66"/>
  <c r="AC75" i="66"/>
  <c r="AG75" i="66"/>
  <c r="AP75" i="66"/>
  <c r="D70" i="71" s="1"/>
  <c r="F70" i="71" s="1"/>
  <c r="H76" i="66"/>
  <c r="AA76" i="66"/>
  <c r="AE76" i="66"/>
  <c r="AI76" i="66"/>
  <c r="AP76" i="66"/>
  <c r="D71" i="71" s="1"/>
  <c r="F71" i="71" s="1"/>
  <c r="Z77" i="66"/>
  <c r="E71" i="68" s="1"/>
  <c r="V71" i="68" s="1"/>
  <c r="AD77" i="66"/>
  <c r="G71" i="68" s="1"/>
  <c r="Z71" i="68" s="1"/>
  <c r="AH77" i="66"/>
  <c r="I71" i="68" s="1"/>
  <c r="AD71" i="68" s="1"/>
  <c r="BC77" i="66"/>
  <c r="C72" i="69" s="1"/>
  <c r="D72" i="69" s="1"/>
  <c r="H79" i="66"/>
  <c r="AA79" i="66"/>
  <c r="E98" i="68" s="1"/>
  <c r="W98" i="68" s="1"/>
  <c r="AE79" i="66"/>
  <c r="G98" i="68" s="1"/>
  <c r="AA98" i="68" s="1"/>
  <c r="AI79" i="66"/>
  <c r="I98" i="68" s="1"/>
  <c r="AE98" i="68" s="1"/>
  <c r="AY79" i="66"/>
  <c r="D97" i="72" s="1"/>
  <c r="D99" i="72" s="1"/>
  <c r="Y80" i="66"/>
  <c r="AC80" i="66"/>
  <c r="AG80" i="66"/>
  <c r="AP80" i="66"/>
  <c r="D74" i="71" s="1"/>
  <c r="F74" i="71" s="1"/>
  <c r="AA84" i="66"/>
  <c r="AE84" i="66"/>
  <c r="AI84" i="66"/>
  <c r="AE90" i="66"/>
  <c r="G92" i="68" s="1"/>
  <c r="AA92" i="68" s="1"/>
  <c r="AF91" i="66"/>
  <c r="AB91" i="66"/>
  <c r="AI55" i="66"/>
  <c r="AA56" i="66"/>
  <c r="AE56" i="66"/>
  <c r="AI56" i="66"/>
  <c r="AP61" i="66"/>
  <c r="D58" i="71" s="1"/>
  <c r="F58" i="71" s="1"/>
  <c r="AA65" i="66"/>
  <c r="AA70" i="66"/>
  <c r="AE70" i="66"/>
  <c r="AP72" i="66"/>
  <c r="D67" i="71" s="1"/>
  <c r="F67" i="71" s="1"/>
  <c r="AC76" i="66"/>
  <c r="AI78" i="66"/>
  <c r="Y79" i="66"/>
  <c r="D98" i="68" s="1"/>
  <c r="U98" i="68" s="1"/>
  <c r="AC79" i="66"/>
  <c r="F98" i="68" s="1"/>
  <c r="Y98" i="68" s="1"/>
  <c r="AG79" i="66"/>
  <c r="H98" i="68" s="1"/>
  <c r="AC98" i="68" s="1"/>
  <c r="AP79" i="66"/>
  <c r="D97" i="71" s="1"/>
  <c r="D99" i="71" s="1"/>
  <c r="Y84" i="66"/>
  <c r="AC84" i="66"/>
  <c r="AG84" i="66"/>
  <c r="Z91" i="66"/>
  <c r="I97" i="64"/>
  <c r="W99" i="64"/>
  <c r="W98" i="64"/>
  <c r="W151" i="64"/>
  <c r="T151" i="64"/>
  <c r="Z117" i="65"/>
  <c r="AD117" i="65"/>
  <c r="AM114" i="65"/>
  <c r="AM119" i="65" s="1"/>
  <c r="AN37" i="65"/>
  <c r="AN114" i="65" s="1"/>
  <c r="AN119" i="65" s="1"/>
  <c r="T99" i="64"/>
  <c r="T98" i="64"/>
  <c r="X151" i="64"/>
  <c r="AE111" i="65"/>
  <c r="U99" i="64"/>
  <c r="U98" i="64"/>
  <c r="Y99" i="64"/>
  <c r="Y98" i="64"/>
  <c r="AM111" i="65"/>
  <c r="AN3" i="65"/>
  <c r="AG117" i="65"/>
  <c r="AK117" i="65"/>
  <c r="AK115" i="65"/>
  <c r="AN46" i="65"/>
  <c r="AN113" i="65" s="1"/>
  <c r="AN118" i="65" s="1"/>
  <c r="AM113" i="65"/>
  <c r="AM118" i="65" s="1"/>
  <c r="AB115" i="65"/>
  <c r="AB121" i="65" s="1"/>
  <c r="AB117" i="65"/>
  <c r="AH117" i="65"/>
  <c r="AH115" i="65"/>
  <c r="AL117" i="65"/>
  <c r="AL115" i="65"/>
  <c r="X99" i="64"/>
  <c r="X98" i="64"/>
  <c r="V99" i="64"/>
  <c r="V98" i="64"/>
  <c r="V151" i="64"/>
  <c r="S99" i="64"/>
  <c r="S98" i="64"/>
  <c r="S151" i="64"/>
  <c r="AC117" i="65"/>
  <c r="AN10" i="65"/>
  <c r="AN109" i="65" s="1"/>
  <c r="AM109" i="65"/>
  <c r="AM110" i="65"/>
  <c r="AN15" i="65"/>
  <c r="AN110" i="65" s="1"/>
  <c r="U151" i="64"/>
  <c r="AA105" i="65"/>
  <c r="AJ105" i="65"/>
  <c r="AI109" i="65"/>
  <c r="AG110" i="65"/>
  <c r="AG115" i="65" s="1"/>
  <c r="AG121" i="65" s="1"/>
  <c r="Z111" i="65"/>
  <c r="Z115" i="65" s="1"/>
  <c r="Z121" i="65" s="1"/>
  <c r="AD111" i="65"/>
  <c r="AD115" i="65" s="1"/>
  <c r="AD121" i="65" s="1"/>
  <c r="AI111" i="65"/>
  <c r="AI113" i="65"/>
  <c r="AI118" i="65" s="1"/>
  <c r="AG114" i="65"/>
  <c r="AG119" i="65" s="1"/>
  <c r="F115" i="65"/>
  <c r="F121" i="65" s="1"/>
  <c r="J115" i="65"/>
  <c r="J121" i="65" s="1"/>
  <c r="N115" i="65"/>
  <c r="N121" i="65" s="1"/>
  <c r="R115" i="65"/>
  <c r="R121" i="65" s="1"/>
  <c r="V115" i="65"/>
  <c r="V121" i="65" s="1"/>
  <c r="H117" i="65"/>
  <c r="H121" i="65" s="1"/>
  <c r="L117" i="65"/>
  <c r="L121" i="65" s="1"/>
  <c r="P117" i="65"/>
  <c r="P121" i="65" s="1"/>
  <c r="T117" i="65"/>
  <c r="T121" i="65" s="1"/>
  <c r="X117" i="65"/>
  <c r="X121" i="65" s="1"/>
  <c r="AP6" i="66"/>
  <c r="D10" i="71" s="1"/>
  <c r="F10" i="71" s="1"/>
  <c r="AB9" i="66"/>
  <c r="F12" i="68" s="1"/>
  <c r="BC9" i="66"/>
  <c r="C13" i="69" s="1"/>
  <c r="D13" i="69" s="1"/>
  <c r="AM4" i="65"/>
  <c r="AM105" i="65" s="1"/>
  <c r="AB105" i="65"/>
  <c r="AG105" i="65"/>
  <c r="AK105" i="65"/>
  <c r="AC112" i="65"/>
  <c r="AC115" i="65" s="1"/>
  <c r="AC121" i="65" s="1"/>
  <c r="G115" i="65"/>
  <c r="G121" i="65" s="1"/>
  <c r="K115" i="65"/>
  <c r="K121" i="65" s="1"/>
  <c r="O115" i="65"/>
  <c r="O121" i="65" s="1"/>
  <c r="S115" i="65"/>
  <c r="S121" i="65" s="1"/>
  <c r="W115" i="65"/>
  <c r="W121" i="65" s="1"/>
  <c r="AA115" i="65"/>
  <c r="AA121" i="65" s="1"/>
  <c r="AJ115" i="65"/>
  <c r="AJ121" i="65" s="1"/>
  <c r="BA87" i="66"/>
  <c r="BA93" i="66" s="1"/>
  <c r="BA96" i="66" s="1"/>
  <c r="Y8" i="66"/>
  <c r="AG8" i="66"/>
  <c r="G9" i="66"/>
  <c r="C12" i="68" s="1"/>
  <c r="R12" i="68" s="1"/>
  <c r="Z141" i="64"/>
  <c r="Z139" i="64" s="1"/>
  <c r="Z143" i="64" s="1"/>
  <c r="AE10" i="65"/>
  <c r="AE109" i="65" s="1"/>
  <c r="AE46" i="65"/>
  <c r="AE113" i="65" s="1"/>
  <c r="AE118" i="65" s="1"/>
  <c r="AC105" i="65"/>
  <c r="AH105" i="65"/>
  <c r="AL105" i="65"/>
  <c r="AG111" i="65"/>
  <c r="AU3" i="66"/>
  <c r="BC5" i="66"/>
  <c r="C9" i="69" s="1"/>
  <c r="D9" i="69" s="1"/>
  <c r="D7" i="72"/>
  <c r="F87" i="66"/>
  <c r="L87" i="66"/>
  <c r="P87" i="66"/>
  <c r="T87" i="66"/>
  <c r="Y3" i="66"/>
  <c r="AC3" i="66"/>
  <c r="AG3" i="66"/>
  <c r="AM87" i="66"/>
  <c r="AM93" i="66" s="1"/>
  <c r="AM96" i="66" s="1"/>
  <c r="AT87" i="66"/>
  <c r="AT93" i="66" s="1"/>
  <c r="AT96" i="66" s="1"/>
  <c r="Y34" i="66"/>
  <c r="AC34" i="66"/>
  <c r="AG34" i="66"/>
  <c r="X43" i="66"/>
  <c r="AB43" i="66"/>
  <c r="AF43" i="66"/>
  <c r="Y45" i="66"/>
  <c r="AC45" i="66"/>
  <c r="AG45" i="66"/>
  <c r="AE45" i="66"/>
  <c r="AG46" i="66"/>
  <c r="H86" i="68" s="1"/>
  <c r="Y55" i="66"/>
  <c r="AC55" i="66"/>
  <c r="AG55" i="66"/>
  <c r="AE55" i="66"/>
  <c r="K71" i="68"/>
  <c r="H16" i="66"/>
  <c r="H20" i="66"/>
  <c r="H24" i="66"/>
  <c r="AA25" i="66"/>
  <c r="AD26" i="66"/>
  <c r="AC40" i="66"/>
  <c r="F84" i="68" s="1"/>
  <c r="AI40" i="66"/>
  <c r="I84" i="68" s="1"/>
  <c r="AE84" i="68" s="1"/>
  <c r="BG40" i="66"/>
  <c r="C85" i="70" s="1"/>
  <c r="D85" i="70" s="1"/>
  <c r="AC46" i="66"/>
  <c r="F86" i="68" s="1"/>
  <c r="Y86" i="68" s="1"/>
  <c r="AI46" i="66"/>
  <c r="I86" i="68" s="1"/>
  <c r="AE86" i="68" s="1"/>
  <c r="AI58" i="66"/>
  <c r="AP58" i="66"/>
  <c r="D55" i="71" s="1"/>
  <c r="F55" i="71" s="1"/>
  <c r="K63" i="68"/>
  <c r="H3" i="66"/>
  <c r="N87" i="66"/>
  <c r="R87" i="66"/>
  <c r="R93" i="66" s="1"/>
  <c r="R96" i="66" s="1"/>
  <c r="V87" i="66"/>
  <c r="AA3" i="66"/>
  <c r="AE3" i="66"/>
  <c r="AI3" i="66"/>
  <c r="AP3" i="66"/>
  <c r="H7" i="66"/>
  <c r="H11" i="66"/>
  <c r="H15" i="66"/>
  <c r="H19" i="66"/>
  <c r="AG25" i="66"/>
  <c r="AF26" i="66"/>
  <c r="X28" i="66"/>
  <c r="AB28" i="66"/>
  <c r="AF28" i="66"/>
  <c r="AE40" i="66"/>
  <c r="G84" i="68" s="1"/>
  <c r="AA84" i="68" s="1"/>
  <c r="AP59" i="66"/>
  <c r="D56" i="71" s="1"/>
  <c r="F56" i="71" s="1"/>
  <c r="H23" i="66"/>
  <c r="AC25" i="66"/>
  <c r="G26" i="66"/>
  <c r="AB26" i="66"/>
  <c r="H33" i="66"/>
  <c r="H44" i="66"/>
  <c r="H54" i="66"/>
  <c r="AE59" i="66"/>
  <c r="K75" i="68"/>
  <c r="Y59" i="66"/>
  <c r="AC59" i="66"/>
  <c r="AG59" i="66"/>
  <c r="X63" i="66"/>
  <c r="AB63" i="66"/>
  <c r="AF63" i="66"/>
  <c r="AO63" i="66"/>
  <c r="C89" i="71" s="1"/>
  <c r="E89" i="71" s="1"/>
  <c r="Y64" i="66"/>
  <c r="AC64" i="66"/>
  <c r="AG64" i="66"/>
  <c r="AP64" i="66"/>
  <c r="D60" i="71" s="1"/>
  <c r="F60" i="71" s="1"/>
  <c r="AO69" i="66"/>
  <c r="C64" i="71" s="1"/>
  <c r="E64" i="71" s="1"/>
  <c r="G64" i="71" s="1"/>
  <c r="Y70" i="66"/>
  <c r="AC70" i="66"/>
  <c r="AG70" i="66"/>
  <c r="AO73" i="66"/>
  <c r="C68" i="71" s="1"/>
  <c r="E68" i="71" s="1"/>
  <c r="G68" i="71" s="1"/>
  <c r="Y74" i="66"/>
  <c r="AC74" i="66"/>
  <c r="AG74" i="66"/>
  <c r="AO77" i="66"/>
  <c r="C72" i="71" s="1"/>
  <c r="E72" i="71" s="1"/>
  <c r="G72" i="71" s="1"/>
  <c r="Y78" i="66"/>
  <c r="AC78" i="66"/>
  <c r="AG78" i="66"/>
  <c r="AA85" i="66"/>
  <c r="H90" i="66"/>
  <c r="C92" i="68" s="1"/>
  <c r="S92" i="68" s="1"/>
  <c r="N93" i="66"/>
  <c r="N96" i="66" s="1"/>
  <c r="V93" i="66"/>
  <c r="V96" i="66" s="1"/>
  <c r="Q93" i="66"/>
  <c r="Q96" i="66" s="1"/>
  <c r="AL93" i="66"/>
  <c r="AL96" i="66" s="1"/>
  <c r="C17" i="79"/>
  <c r="F17" i="79" s="1"/>
  <c r="W17" i="67"/>
  <c r="M17" i="67"/>
  <c r="L12" i="77" s="1"/>
  <c r="AI12" i="77" s="1"/>
  <c r="N17" i="67"/>
  <c r="F18" i="67"/>
  <c r="J18" i="67"/>
  <c r="E19" i="79"/>
  <c r="Y19" i="67"/>
  <c r="D20" i="79"/>
  <c r="X20" i="67"/>
  <c r="C33" i="79"/>
  <c r="F33" i="79" s="1"/>
  <c r="W33" i="67"/>
  <c r="M33" i="67"/>
  <c r="L28" i="77" s="1"/>
  <c r="AI28" i="77" s="1"/>
  <c r="N33" i="67"/>
  <c r="C31" i="66"/>
  <c r="AH31" i="66" s="1"/>
  <c r="I32" i="68" s="1"/>
  <c r="AD32" i="68" s="1"/>
  <c r="F34" i="67"/>
  <c r="J34" i="67"/>
  <c r="E35" i="79"/>
  <c r="Y35" i="67"/>
  <c r="D36" i="79"/>
  <c r="X36" i="67"/>
  <c r="C49" i="79"/>
  <c r="F49" i="79" s="1"/>
  <c r="W49" i="67"/>
  <c r="M49" i="67"/>
  <c r="L44" i="77" s="1"/>
  <c r="AI44" i="77" s="1"/>
  <c r="N49" i="67"/>
  <c r="C52" i="66"/>
  <c r="AF52" i="66" s="1"/>
  <c r="H48" i="68" s="1"/>
  <c r="AB48" i="68" s="1"/>
  <c r="F50" i="67"/>
  <c r="J50" i="67"/>
  <c r="E51" i="79"/>
  <c r="Y51" i="67"/>
  <c r="D52" i="79"/>
  <c r="X52" i="67"/>
  <c r="I102" i="78"/>
  <c r="I104" i="78" s="1"/>
  <c r="I112" i="67"/>
  <c r="P96" i="67"/>
  <c r="C82" i="79"/>
  <c r="W82" i="67"/>
  <c r="M82" i="67"/>
  <c r="L77" i="77" s="1"/>
  <c r="AI77" i="77" s="1"/>
  <c r="N82" i="67"/>
  <c r="D85" i="79"/>
  <c r="X85" i="67"/>
  <c r="M85" i="67"/>
  <c r="L80" i="77" s="1"/>
  <c r="AI80" i="77" s="1"/>
  <c r="D94" i="79"/>
  <c r="K111" i="67"/>
  <c r="X94" i="67"/>
  <c r="Y85" i="66"/>
  <c r="AC85" i="66"/>
  <c r="AG85" i="66"/>
  <c r="AE85" i="66"/>
  <c r="AP85" i="66"/>
  <c r="D18" i="71" s="1"/>
  <c r="F18" i="71" s="1"/>
  <c r="AA90" i="66"/>
  <c r="E92" i="68" s="1"/>
  <c r="W92" i="68" s="1"/>
  <c r="BG90" i="66"/>
  <c r="C93" i="70" s="1"/>
  <c r="D93" i="70" s="1"/>
  <c r="K77" i="79" s="1"/>
  <c r="C93" i="72"/>
  <c r="C95" i="72" s="1"/>
  <c r="E7" i="79"/>
  <c r="L79" i="67"/>
  <c r="Y7" i="67"/>
  <c r="D8" i="79"/>
  <c r="K79" i="67"/>
  <c r="X8" i="67"/>
  <c r="C21" i="79"/>
  <c r="F21" i="79" s="1"/>
  <c r="W21" i="67"/>
  <c r="M21" i="67"/>
  <c r="L16" i="77" s="1"/>
  <c r="AI16" i="77" s="1"/>
  <c r="N21" i="67"/>
  <c r="F22" i="67"/>
  <c r="J22" i="67"/>
  <c r="E23" i="79"/>
  <c r="Y23" i="67"/>
  <c r="D24" i="79"/>
  <c r="X24" i="67"/>
  <c r="C37" i="79"/>
  <c r="F37" i="79" s="1"/>
  <c r="W37" i="67"/>
  <c r="M37" i="67"/>
  <c r="L32" i="77" s="1"/>
  <c r="AI32" i="77" s="1"/>
  <c r="N37" i="67"/>
  <c r="C35" i="66"/>
  <c r="G35" i="66" s="1"/>
  <c r="C36" i="68" s="1"/>
  <c r="R36" i="68" s="1"/>
  <c r="F38" i="67"/>
  <c r="J38" i="67"/>
  <c r="E39" i="79"/>
  <c r="Y39" i="67"/>
  <c r="D40" i="79"/>
  <c r="X40" i="67"/>
  <c r="C53" i="79"/>
  <c r="F53" i="79" s="1"/>
  <c r="W53" i="67"/>
  <c r="M53" i="67"/>
  <c r="L48" i="77" s="1"/>
  <c r="AI48" i="77" s="1"/>
  <c r="N53" i="67"/>
  <c r="C56" i="66"/>
  <c r="Z56" i="66" s="1"/>
  <c r="E52" i="68" s="1"/>
  <c r="V52" i="68" s="1"/>
  <c r="F54" i="67"/>
  <c r="J54" i="67"/>
  <c r="E55" i="79"/>
  <c r="Y55" i="67"/>
  <c r="D56" i="79"/>
  <c r="X56" i="67"/>
  <c r="C62" i="79"/>
  <c r="W62" i="67"/>
  <c r="M62" i="67"/>
  <c r="L57" i="77" s="1"/>
  <c r="AI57" i="77" s="1"/>
  <c r="N62" i="67"/>
  <c r="C66" i="66"/>
  <c r="AF66" i="66" s="1"/>
  <c r="H61" i="68" s="1"/>
  <c r="AB61" i="68" s="1"/>
  <c r="C64" i="79"/>
  <c r="W64" i="67"/>
  <c r="M64" i="67"/>
  <c r="L59" i="77" s="1"/>
  <c r="AI59" i="77" s="1"/>
  <c r="N64" i="67"/>
  <c r="C66" i="79"/>
  <c r="W66" i="67"/>
  <c r="M66" i="67"/>
  <c r="L61" i="77" s="1"/>
  <c r="AI61" i="77" s="1"/>
  <c r="N66" i="67"/>
  <c r="C71" i="66"/>
  <c r="AF71" i="66" s="1"/>
  <c r="H65" i="68" s="1"/>
  <c r="AB65" i="68" s="1"/>
  <c r="C68" i="79"/>
  <c r="W68" i="67"/>
  <c r="M68" i="67"/>
  <c r="L63" i="77" s="1"/>
  <c r="AI63" i="77" s="1"/>
  <c r="N68" i="67"/>
  <c r="C70" i="79"/>
  <c r="W70" i="67"/>
  <c r="M70" i="67"/>
  <c r="L65" i="77" s="1"/>
  <c r="AI65" i="77" s="1"/>
  <c r="N70" i="67"/>
  <c r="C75" i="66"/>
  <c r="G75" i="66" s="1"/>
  <c r="C69" i="68" s="1"/>
  <c r="R69" i="68" s="1"/>
  <c r="C72" i="79"/>
  <c r="W72" i="67"/>
  <c r="M72" i="67"/>
  <c r="L67" i="77" s="1"/>
  <c r="AI67" i="77" s="1"/>
  <c r="N72" i="67"/>
  <c r="C74" i="79"/>
  <c r="W74" i="67"/>
  <c r="M74" i="67"/>
  <c r="L69" i="77" s="1"/>
  <c r="AI69" i="77" s="1"/>
  <c r="N74" i="67"/>
  <c r="C80" i="66"/>
  <c r="AH80" i="66" s="1"/>
  <c r="I73" i="68" s="1"/>
  <c r="AD73" i="68" s="1"/>
  <c r="C76" i="79"/>
  <c r="W76" i="67"/>
  <c r="M76" i="67"/>
  <c r="L71" i="77" s="1"/>
  <c r="AI71" i="77" s="1"/>
  <c r="N76" i="67"/>
  <c r="L84" i="67"/>
  <c r="E110" i="67"/>
  <c r="E96" i="67"/>
  <c r="E102" i="67" s="1"/>
  <c r="E85" i="79"/>
  <c r="Y85" i="67"/>
  <c r="C90" i="79"/>
  <c r="W90" i="67"/>
  <c r="M90" i="67"/>
  <c r="L85" i="77" s="1"/>
  <c r="AI85" i="77" s="1"/>
  <c r="N90" i="67"/>
  <c r="C67" i="66"/>
  <c r="X67" i="66" s="1"/>
  <c r="M93" i="67"/>
  <c r="G112" i="67"/>
  <c r="BC84" i="66"/>
  <c r="C76" i="69" s="1"/>
  <c r="D76" i="69" s="1"/>
  <c r="AI85" i="66"/>
  <c r="Y90" i="66"/>
  <c r="D92" i="68" s="1"/>
  <c r="U92" i="68" s="1"/>
  <c r="AC90" i="66"/>
  <c r="F92" i="68" s="1"/>
  <c r="Y92" i="68" s="1"/>
  <c r="AG90" i="66"/>
  <c r="H92" i="68" s="1"/>
  <c r="AC92" i="68" s="1"/>
  <c r="K93" i="66"/>
  <c r="K96" i="66" s="1"/>
  <c r="O93" i="66"/>
  <c r="O96" i="66" s="1"/>
  <c r="P79" i="67"/>
  <c r="C9" i="79"/>
  <c r="F9" i="79" s="1"/>
  <c r="W9" i="67"/>
  <c r="M9" i="67"/>
  <c r="L4" i="77" s="1"/>
  <c r="AI4" i="77" s="1"/>
  <c r="N9" i="67"/>
  <c r="F10" i="67"/>
  <c r="J10" i="67"/>
  <c r="E11" i="79"/>
  <c r="Y11" i="67"/>
  <c r="D12" i="79"/>
  <c r="X12" i="67"/>
  <c r="C25" i="79"/>
  <c r="F25" i="79" s="1"/>
  <c r="W25" i="67"/>
  <c r="M25" i="67"/>
  <c r="L20" i="77" s="1"/>
  <c r="AI20" i="77" s="1"/>
  <c r="N25" i="67"/>
  <c r="F26" i="67"/>
  <c r="J26" i="67"/>
  <c r="E27" i="79"/>
  <c r="Y27" i="67"/>
  <c r="D28" i="79"/>
  <c r="X28" i="67"/>
  <c r="C41" i="79"/>
  <c r="F41" i="79" s="1"/>
  <c r="W41" i="67"/>
  <c r="M41" i="67"/>
  <c r="L36" i="77" s="1"/>
  <c r="AI36" i="77" s="1"/>
  <c r="N41" i="67"/>
  <c r="C41" i="66"/>
  <c r="F42" i="67"/>
  <c r="J42" i="67"/>
  <c r="E43" i="79"/>
  <c r="Y43" i="67"/>
  <c r="D44" i="79"/>
  <c r="X44" i="67"/>
  <c r="C57" i="79"/>
  <c r="F57" i="79" s="1"/>
  <c r="W57" i="67"/>
  <c r="M57" i="67"/>
  <c r="L52" i="77" s="1"/>
  <c r="AI52" i="77" s="1"/>
  <c r="N57" i="67"/>
  <c r="C60" i="66"/>
  <c r="AH60" i="66" s="1"/>
  <c r="I56" i="68" s="1"/>
  <c r="AD56" i="68" s="1"/>
  <c r="F58" i="67"/>
  <c r="J58" i="67"/>
  <c r="E59" i="79"/>
  <c r="D62" i="66"/>
  <c r="AA62" i="66" s="1"/>
  <c r="Y59" i="67"/>
  <c r="D60" i="79"/>
  <c r="X60" i="67"/>
  <c r="E88" i="79"/>
  <c r="Y88" i="67"/>
  <c r="D91" i="79"/>
  <c r="X91" i="67"/>
  <c r="M91" i="67"/>
  <c r="L86" i="77" s="1"/>
  <c r="AI86" i="77" s="1"/>
  <c r="D82" i="66"/>
  <c r="AA82" i="66" s="1"/>
  <c r="E90" i="68" s="1"/>
  <c r="W90" i="68" s="1"/>
  <c r="E92" i="79"/>
  <c r="Y92" i="67"/>
  <c r="X69" i="66"/>
  <c r="D63" i="68" s="1"/>
  <c r="AB69" i="66"/>
  <c r="F63" i="68" s="1"/>
  <c r="X63" i="68" s="1"/>
  <c r="AF69" i="66"/>
  <c r="H63" i="68" s="1"/>
  <c r="AB63" i="68" s="1"/>
  <c r="AX69" i="66"/>
  <c r="C64" i="72" s="1"/>
  <c r="E64" i="72" s="1"/>
  <c r="G64" i="72" s="1"/>
  <c r="X73" i="66"/>
  <c r="D67" i="68" s="1"/>
  <c r="AB73" i="66"/>
  <c r="F67" i="68" s="1"/>
  <c r="X67" i="68" s="1"/>
  <c r="AF73" i="66"/>
  <c r="H67" i="68" s="1"/>
  <c r="AB67" i="68" s="1"/>
  <c r="X77" i="66"/>
  <c r="D71" i="68" s="1"/>
  <c r="AB77" i="66"/>
  <c r="F71" i="68" s="1"/>
  <c r="X71" i="68" s="1"/>
  <c r="AF77" i="66"/>
  <c r="H71" i="68" s="1"/>
  <c r="AB71" i="68" s="1"/>
  <c r="X82" i="66"/>
  <c r="AB82" i="66"/>
  <c r="AF82" i="66"/>
  <c r="X83" i="66"/>
  <c r="AB83" i="66"/>
  <c r="AF83" i="66"/>
  <c r="AI90" i="66"/>
  <c r="I92" i="68" s="1"/>
  <c r="AE92" i="68" s="1"/>
  <c r="E93" i="66"/>
  <c r="E96" i="66" s="1"/>
  <c r="C13" i="79"/>
  <c r="F13" i="79" s="1"/>
  <c r="W13" i="67"/>
  <c r="M13" i="67"/>
  <c r="L8" i="77" s="1"/>
  <c r="AI8" i="77" s="1"/>
  <c r="N13" i="67"/>
  <c r="F14" i="67"/>
  <c r="J14" i="67"/>
  <c r="E15" i="79"/>
  <c r="Y15" i="67"/>
  <c r="D16" i="79"/>
  <c r="X16" i="67"/>
  <c r="C29" i="79"/>
  <c r="F29" i="79" s="1"/>
  <c r="W29" i="67"/>
  <c r="M29" i="67"/>
  <c r="L24" i="77" s="1"/>
  <c r="AI24" i="77" s="1"/>
  <c r="N29" i="67"/>
  <c r="C25" i="66"/>
  <c r="BC25" i="66" s="1"/>
  <c r="C29" i="69" s="1"/>
  <c r="D29" i="69" s="1"/>
  <c r="F30" i="67"/>
  <c r="J30" i="67"/>
  <c r="E31" i="79"/>
  <c r="Y31" i="67"/>
  <c r="D32" i="79"/>
  <c r="X32" i="67"/>
  <c r="C45" i="79"/>
  <c r="F45" i="79" s="1"/>
  <c r="W45" i="67"/>
  <c r="M45" i="67"/>
  <c r="L40" i="77" s="1"/>
  <c r="AI40" i="77" s="1"/>
  <c r="N45" i="67"/>
  <c r="C48" i="66"/>
  <c r="F46" i="67"/>
  <c r="J46" i="67"/>
  <c r="E47" i="79"/>
  <c r="Y47" i="67"/>
  <c r="D48" i="79"/>
  <c r="X48" i="67"/>
  <c r="C61" i="79"/>
  <c r="W61" i="67"/>
  <c r="M61" i="67"/>
  <c r="L56" i="77" s="1"/>
  <c r="AI56" i="77" s="1"/>
  <c r="N61" i="67"/>
  <c r="C65" i="66"/>
  <c r="AF65" i="66" s="1"/>
  <c r="H60" i="68" s="1"/>
  <c r="AB60" i="68" s="1"/>
  <c r="C63" i="79"/>
  <c r="W63" i="67"/>
  <c r="M63" i="67"/>
  <c r="L58" i="77" s="1"/>
  <c r="AI58" i="77" s="1"/>
  <c r="N63" i="67"/>
  <c r="C68" i="66"/>
  <c r="X68" i="66" s="1"/>
  <c r="D62" i="68" s="1"/>
  <c r="T62" i="68" s="1"/>
  <c r="C65" i="79"/>
  <c r="W65" i="67"/>
  <c r="M65" i="67"/>
  <c r="L60" i="77" s="1"/>
  <c r="AI60" i="77" s="1"/>
  <c r="N65" i="67"/>
  <c r="C70" i="66"/>
  <c r="BC70" i="66" s="1"/>
  <c r="C65" i="69" s="1"/>
  <c r="D65" i="69" s="1"/>
  <c r="C67" i="79"/>
  <c r="W67" i="67"/>
  <c r="M67" i="67"/>
  <c r="L62" i="77" s="1"/>
  <c r="AI62" i="77" s="1"/>
  <c r="N67" i="67"/>
  <c r="C72" i="66"/>
  <c r="AH72" i="66" s="1"/>
  <c r="I66" i="68" s="1"/>
  <c r="AD66" i="68" s="1"/>
  <c r="C69" i="79"/>
  <c r="W69" i="67"/>
  <c r="M69" i="67"/>
  <c r="L64" i="77" s="1"/>
  <c r="AI64" i="77" s="1"/>
  <c r="N69" i="67"/>
  <c r="C74" i="66"/>
  <c r="BC74" i="66" s="1"/>
  <c r="C69" i="69" s="1"/>
  <c r="D69" i="69" s="1"/>
  <c r="C71" i="79"/>
  <c r="W71" i="67"/>
  <c r="M71" i="67"/>
  <c r="L66" i="77" s="1"/>
  <c r="AI66" i="77" s="1"/>
  <c r="N71" i="67"/>
  <c r="C76" i="66"/>
  <c r="AB76" i="66" s="1"/>
  <c r="F70" i="68" s="1"/>
  <c r="X70" i="68" s="1"/>
  <c r="C73" i="79"/>
  <c r="W73" i="67"/>
  <c r="M73" i="67"/>
  <c r="L68" i="77" s="1"/>
  <c r="AI68" i="77" s="1"/>
  <c r="N73" i="67"/>
  <c r="C78" i="66"/>
  <c r="BC78" i="66" s="1"/>
  <c r="C73" i="69" s="1"/>
  <c r="D73" i="69" s="1"/>
  <c r="C75" i="79"/>
  <c r="W75" i="67"/>
  <c r="M75" i="67"/>
  <c r="L70" i="77" s="1"/>
  <c r="AI70" i="77" s="1"/>
  <c r="N75" i="67"/>
  <c r="C81" i="66"/>
  <c r="Z81" i="66" s="1"/>
  <c r="E74" i="68" s="1"/>
  <c r="V74" i="68" s="1"/>
  <c r="C77" i="79"/>
  <c r="W77" i="67"/>
  <c r="M77" i="67"/>
  <c r="N77" i="67"/>
  <c r="C90" i="66"/>
  <c r="AX90" i="66" s="1"/>
  <c r="C77" i="72" s="1"/>
  <c r="E77" i="72" s="1"/>
  <c r="G77" i="72" s="1"/>
  <c r="D86" i="79"/>
  <c r="X86" i="67"/>
  <c r="D87" i="79"/>
  <c r="F87" i="79" s="1"/>
  <c r="X87" i="67"/>
  <c r="M87" i="67"/>
  <c r="L82" i="77" s="1"/>
  <c r="AI82" i="77" s="1"/>
  <c r="C110" i="67"/>
  <c r="E2" i="69"/>
  <c r="D25" i="69"/>
  <c r="D21" i="69"/>
  <c r="E92" i="71"/>
  <c r="E82" i="71"/>
  <c r="E92" i="72"/>
  <c r="G92" i="72" s="1"/>
  <c r="E87" i="72"/>
  <c r="G87" i="72" s="1"/>
  <c r="E82" i="72"/>
  <c r="G82" i="72" s="1"/>
  <c r="E76" i="72"/>
  <c r="G76" i="72" s="1"/>
  <c r="E72" i="72"/>
  <c r="G72" i="72" s="1"/>
  <c r="E68" i="72"/>
  <c r="G68" i="72" s="1"/>
  <c r="E60" i="72"/>
  <c r="G60" i="72" s="1"/>
  <c r="E52" i="72"/>
  <c r="G52" i="72" s="1"/>
  <c r="E48" i="72"/>
  <c r="G48" i="72" s="1"/>
  <c r="E44" i="72"/>
  <c r="G44" i="72" s="1"/>
  <c r="E40" i="72"/>
  <c r="G40" i="72" s="1"/>
  <c r="E36" i="72"/>
  <c r="G36" i="72" s="1"/>
  <c r="E31" i="72"/>
  <c r="G31" i="72" s="1"/>
  <c r="E27" i="72"/>
  <c r="G27" i="72" s="1"/>
  <c r="E23" i="72"/>
  <c r="G23" i="72" s="1"/>
  <c r="E13" i="72"/>
  <c r="G13" i="72" s="1"/>
  <c r="E9" i="72"/>
  <c r="G9" i="72" s="1"/>
  <c r="E97" i="72"/>
  <c r="E99" i="72" s="1"/>
  <c r="E91" i="72"/>
  <c r="E86" i="72"/>
  <c r="E85" i="72"/>
  <c r="E81" i="72"/>
  <c r="E75" i="72"/>
  <c r="E59" i="72"/>
  <c r="E51" i="72"/>
  <c r="E43" i="72"/>
  <c r="E35" i="72"/>
  <c r="E34" i="72"/>
  <c r="E26" i="72"/>
  <c r="E22" i="72"/>
  <c r="E17" i="72"/>
  <c r="E8" i="72"/>
  <c r="E90" i="72"/>
  <c r="E70" i="72"/>
  <c r="E62" i="72"/>
  <c r="E54" i="72"/>
  <c r="E46" i="72"/>
  <c r="E38" i="72"/>
  <c r="E25" i="72"/>
  <c r="E20" i="72"/>
  <c r="E15" i="72"/>
  <c r="E88" i="72"/>
  <c r="G88" i="72" s="1"/>
  <c r="E83" i="72"/>
  <c r="G83" i="72" s="1"/>
  <c r="E73" i="72"/>
  <c r="G73" i="72" s="1"/>
  <c r="E65" i="72"/>
  <c r="G65" i="72" s="1"/>
  <c r="E57" i="72"/>
  <c r="G57" i="72" s="1"/>
  <c r="E41" i="72"/>
  <c r="G41" i="72" s="1"/>
  <c r="E28" i="72"/>
  <c r="G28" i="72" s="1"/>
  <c r="E89" i="72"/>
  <c r="E84" i="72"/>
  <c r="E74" i="72"/>
  <c r="E66" i="72"/>
  <c r="E50" i="72"/>
  <c r="E42" i="72"/>
  <c r="E29" i="72"/>
  <c r="E21" i="72"/>
  <c r="E16" i="72"/>
  <c r="E24" i="72"/>
  <c r="G24" i="72" s="1"/>
  <c r="E37" i="72"/>
  <c r="G37" i="72" s="1"/>
  <c r="E69" i="72"/>
  <c r="G69" i="72" s="1"/>
  <c r="H69" i="66"/>
  <c r="H73" i="66"/>
  <c r="H77" i="66"/>
  <c r="H84" i="66"/>
  <c r="X91" i="66"/>
  <c r="AH91" i="66"/>
  <c r="S93" i="66"/>
  <c r="S96" i="66" s="1"/>
  <c r="E16" i="79"/>
  <c r="D103" i="78"/>
  <c r="D110" i="67"/>
  <c r="D96" i="67"/>
  <c r="D102" i="67" s="1"/>
  <c r="K81" i="67"/>
  <c r="E82" i="79"/>
  <c r="Y82" i="67"/>
  <c r="C84" i="79"/>
  <c r="W84" i="67"/>
  <c r="W96" i="67" s="1"/>
  <c r="K89" i="67"/>
  <c r="E90" i="79"/>
  <c r="Y90" i="67"/>
  <c r="C92" i="79"/>
  <c r="W92" i="67"/>
  <c r="E111" i="67"/>
  <c r="F94" i="67"/>
  <c r="D98" i="79"/>
  <c r="D100" i="79" s="1"/>
  <c r="K100" i="67"/>
  <c r="X98" i="67"/>
  <c r="X100" i="67" s="1"/>
  <c r="E19" i="72"/>
  <c r="G19" i="72" s="1"/>
  <c r="E32" i="72"/>
  <c r="G32" i="72" s="1"/>
  <c r="E45" i="72"/>
  <c r="G45" i="72" s="1"/>
  <c r="F71" i="77"/>
  <c r="H71" i="77" s="1"/>
  <c r="I71" i="77" s="1"/>
  <c r="J71" i="77" s="1"/>
  <c r="L93" i="66"/>
  <c r="L96" i="66" s="1"/>
  <c r="P93" i="66"/>
  <c r="P96" i="66" s="1"/>
  <c r="T93" i="66"/>
  <c r="T96" i="66" s="1"/>
  <c r="C114" i="67"/>
  <c r="J7" i="67"/>
  <c r="Y8" i="67"/>
  <c r="X9" i="67"/>
  <c r="X79" i="67" s="1"/>
  <c r="J11" i="67"/>
  <c r="Y12" i="67"/>
  <c r="X13" i="67"/>
  <c r="J15" i="67"/>
  <c r="C103" i="78"/>
  <c r="F16" i="67"/>
  <c r="Y16" i="67"/>
  <c r="X17" i="67"/>
  <c r="J19" i="67"/>
  <c r="Y20" i="67"/>
  <c r="X21" i="67"/>
  <c r="J23" i="67"/>
  <c r="Y24" i="67"/>
  <c r="X25" i="67"/>
  <c r="J27" i="67"/>
  <c r="Y28" i="67"/>
  <c r="X29" i="67"/>
  <c r="J31" i="67"/>
  <c r="Y32" i="67"/>
  <c r="X33" i="67"/>
  <c r="J35" i="67"/>
  <c r="Y36" i="67"/>
  <c r="X37" i="67"/>
  <c r="J39" i="67"/>
  <c r="Y40" i="67"/>
  <c r="X41" i="67"/>
  <c r="J43" i="67"/>
  <c r="Y44" i="67"/>
  <c r="X45" i="67"/>
  <c r="J47" i="67"/>
  <c r="Y48" i="67"/>
  <c r="X49" i="67"/>
  <c r="J51" i="67"/>
  <c r="Y52" i="67"/>
  <c r="X53" i="67"/>
  <c r="J55" i="67"/>
  <c r="Y56" i="67"/>
  <c r="X57" i="67"/>
  <c r="J59" i="67"/>
  <c r="Y60" i="67"/>
  <c r="E61" i="79"/>
  <c r="Y61" i="67"/>
  <c r="E62" i="79"/>
  <c r="Y62" i="67"/>
  <c r="E63" i="79"/>
  <c r="Y63" i="67"/>
  <c r="E64" i="79"/>
  <c r="Y64" i="67"/>
  <c r="E65" i="79"/>
  <c r="Y65" i="67"/>
  <c r="E66" i="79"/>
  <c r="Y66" i="67"/>
  <c r="E67" i="79"/>
  <c r="Y67" i="67"/>
  <c r="E68" i="79"/>
  <c r="Y68" i="67"/>
  <c r="E69" i="79"/>
  <c r="Y69" i="67"/>
  <c r="E70" i="79"/>
  <c r="Y70" i="67"/>
  <c r="E71" i="79"/>
  <c r="Y71" i="67"/>
  <c r="E72" i="79"/>
  <c r="Y72" i="67"/>
  <c r="E73" i="79"/>
  <c r="Y73" i="67"/>
  <c r="E74" i="79"/>
  <c r="Y74" i="67"/>
  <c r="E75" i="79"/>
  <c r="Y75" i="67"/>
  <c r="E76" i="79"/>
  <c r="Y76" i="67"/>
  <c r="E77" i="79"/>
  <c r="Y77" i="67"/>
  <c r="K83" i="67"/>
  <c r="C86" i="79"/>
  <c r="W86" i="67"/>
  <c r="N93" i="67"/>
  <c r="Q93" i="67" s="1"/>
  <c r="C94" i="79"/>
  <c r="W94" i="67"/>
  <c r="AA119" i="67"/>
  <c r="AD117" i="67"/>
  <c r="P118" i="67" s="1"/>
  <c r="E9" i="71"/>
  <c r="E53" i="72"/>
  <c r="G53" i="72" s="1"/>
  <c r="F3" i="77"/>
  <c r="H3" i="77" s="1"/>
  <c r="I3" i="77" s="1"/>
  <c r="J3" i="77" s="1"/>
  <c r="O3" i="77"/>
  <c r="F7" i="77"/>
  <c r="H7" i="77" s="1"/>
  <c r="I7" i="77" s="1"/>
  <c r="J7" i="77" s="1"/>
  <c r="O7" i="77"/>
  <c r="F11" i="77"/>
  <c r="H11" i="77" s="1"/>
  <c r="I11" i="77" s="1"/>
  <c r="J11" i="77" s="1"/>
  <c r="O11" i="77"/>
  <c r="F15" i="77"/>
  <c r="H15" i="77" s="1"/>
  <c r="I15" i="77" s="1"/>
  <c r="J15" i="77" s="1"/>
  <c r="O15" i="77"/>
  <c r="F19" i="77"/>
  <c r="H19" i="77" s="1"/>
  <c r="I19" i="77" s="1"/>
  <c r="J19" i="77" s="1"/>
  <c r="O19" i="77"/>
  <c r="F23" i="77"/>
  <c r="H23" i="77" s="1"/>
  <c r="I23" i="77" s="1"/>
  <c r="J23" i="77" s="1"/>
  <c r="O23" i="77"/>
  <c r="F27" i="77"/>
  <c r="H27" i="77" s="1"/>
  <c r="I27" i="77" s="1"/>
  <c r="J27" i="77" s="1"/>
  <c r="O27" i="77"/>
  <c r="F31" i="77"/>
  <c r="H31" i="77" s="1"/>
  <c r="I31" i="77" s="1"/>
  <c r="J31" i="77" s="1"/>
  <c r="O31" i="77"/>
  <c r="F35" i="77"/>
  <c r="H35" i="77" s="1"/>
  <c r="I35" i="77" s="1"/>
  <c r="J35" i="77" s="1"/>
  <c r="O35" i="77"/>
  <c r="F39" i="77"/>
  <c r="H39" i="77" s="1"/>
  <c r="I39" i="77" s="1"/>
  <c r="J39" i="77" s="1"/>
  <c r="O39" i="77"/>
  <c r="F43" i="77"/>
  <c r="H43" i="77" s="1"/>
  <c r="I43" i="77" s="1"/>
  <c r="J43" i="77" s="1"/>
  <c r="O43" i="77"/>
  <c r="F47" i="77"/>
  <c r="H47" i="77" s="1"/>
  <c r="I47" i="77" s="1"/>
  <c r="J47" i="77" s="1"/>
  <c r="O47" i="77"/>
  <c r="F51" i="77"/>
  <c r="H51" i="77" s="1"/>
  <c r="I51" i="77" s="1"/>
  <c r="J51" i="77" s="1"/>
  <c r="O51" i="77"/>
  <c r="O55" i="77"/>
  <c r="F55" i="77"/>
  <c r="H55" i="77" s="1"/>
  <c r="I55" i="77" s="1"/>
  <c r="J55" i="77" s="1"/>
  <c r="O59" i="77"/>
  <c r="F59" i="77"/>
  <c r="H59" i="77" s="1"/>
  <c r="I59" i="77" s="1"/>
  <c r="J59" i="77" s="1"/>
  <c r="O63" i="77"/>
  <c r="F63" i="77"/>
  <c r="H63" i="77" s="1"/>
  <c r="I63" i="77" s="1"/>
  <c r="J63" i="77" s="1"/>
  <c r="O67" i="77"/>
  <c r="F67" i="77"/>
  <c r="H67" i="77" s="1"/>
  <c r="I67" i="77" s="1"/>
  <c r="J67" i="77" s="1"/>
  <c r="BF93" i="66"/>
  <c r="BF96" i="66" s="1"/>
  <c r="F93" i="66"/>
  <c r="F96" i="66" s="1"/>
  <c r="J8" i="67"/>
  <c r="Y9" i="67"/>
  <c r="X10" i="67"/>
  <c r="J12" i="67"/>
  <c r="Y13" i="67"/>
  <c r="X14" i="67"/>
  <c r="J16" i="67"/>
  <c r="Y17" i="67"/>
  <c r="X18" i="67"/>
  <c r="J20" i="67"/>
  <c r="Y21" i="67"/>
  <c r="X22" i="67"/>
  <c r="J24" i="67"/>
  <c r="Y25" i="67"/>
  <c r="X26" i="67"/>
  <c r="J28" i="67"/>
  <c r="Y29" i="67"/>
  <c r="X30" i="67"/>
  <c r="J32" i="67"/>
  <c r="Y33" i="67"/>
  <c r="X34" i="67"/>
  <c r="J36" i="67"/>
  <c r="Y37" i="67"/>
  <c r="X38" i="67"/>
  <c r="J40" i="67"/>
  <c r="Y41" i="67"/>
  <c r="X42" i="67"/>
  <c r="J44" i="67"/>
  <c r="Y45" i="67"/>
  <c r="X46" i="67"/>
  <c r="J48" i="67"/>
  <c r="Y49" i="67"/>
  <c r="X50" i="67"/>
  <c r="J52" i="67"/>
  <c r="Y53" i="67"/>
  <c r="X54" i="67"/>
  <c r="J56" i="67"/>
  <c r="Y57" i="67"/>
  <c r="X58" i="67"/>
  <c r="J60" i="67"/>
  <c r="C111" i="67"/>
  <c r="F77" i="67"/>
  <c r="C79" i="67"/>
  <c r="C102" i="67" s="1"/>
  <c r="H102" i="67"/>
  <c r="F81" i="67"/>
  <c r="F96" i="67" s="1"/>
  <c r="E104" i="67"/>
  <c r="F82" i="67"/>
  <c r="F84" i="67"/>
  <c r="N84" i="67"/>
  <c r="L86" i="67"/>
  <c r="M86" i="67" s="1"/>
  <c r="L81" i="77" s="1"/>
  <c r="AI81" i="77" s="1"/>
  <c r="C88" i="79"/>
  <c r="W88" i="67"/>
  <c r="M88" i="67"/>
  <c r="L83" i="77" s="1"/>
  <c r="AI83" i="77" s="1"/>
  <c r="F92" i="67"/>
  <c r="L94" i="67"/>
  <c r="M94" i="67" s="1"/>
  <c r="M111" i="67" s="1"/>
  <c r="E61" i="72"/>
  <c r="G61" i="72" s="1"/>
  <c r="N81" i="67"/>
  <c r="K84" i="67"/>
  <c r="F85" i="79"/>
  <c r="N85" i="67"/>
  <c r="K88" i="67"/>
  <c r="N89" i="67"/>
  <c r="K92" i="67"/>
  <c r="M92" i="67" s="1"/>
  <c r="L87" i="77" s="1"/>
  <c r="AI87" i="77" s="1"/>
  <c r="J98" i="67"/>
  <c r="AA118" i="67"/>
  <c r="AD118" i="67" s="1"/>
  <c r="L7" i="79"/>
  <c r="D79" i="70"/>
  <c r="F93" i="77"/>
  <c r="F95" i="77" s="1"/>
  <c r="O93" i="77"/>
  <c r="O95" i="77" s="1"/>
  <c r="Z144" i="64"/>
  <c r="E74" i="77"/>
  <c r="O70" i="77"/>
  <c r="O77" i="77"/>
  <c r="F77" i="77"/>
  <c r="H77" i="77" s="1"/>
  <c r="I77" i="77" s="1"/>
  <c r="J77" i="77" s="1"/>
  <c r="O81" i="77"/>
  <c r="F81" i="77"/>
  <c r="H81" i="77" s="1"/>
  <c r="I81" i="77" s="1"/>
  <c r="J81" i="77" s="1"/>
  <c r="F85" i="77"/>
  <c r="H85" i="77" s="1"/>
  <c r="I85" i="77" s="1"/>
  <c r="J85" i="77" s="1"/>
  <c r="O85" i="77"/>
  <c r="C101" i="77"/>
  <c r="C99" i="77"/>
  <c r="D77" i="79"/>
  <c r="E103" i="78"/>
  <c r="L81" i="67"/>
  <c r="N83" i="67"/>
  <c r="N87" i="67"/>
  <c r="F91" i="79"/>
  <c r="N91" i="67"/>
  <c r="J96" i="67"/>
  <c r="F2" i="77"/>
  <c r="H2" i="77" s="1"/>
  <c r="C79" i="73"/>
  <c r="F6" i="77"/>
  <c r="H6" i="77" s="1"/>
  <c r="I6" i="77" s="1"/>
  <c r="J6" i="77" s="1"/>
  <c r="O6" i="77"/>
  <c r="F10" i="77"/>
  <c r="H10" i="77" s="1"/>
  <c r="I10" i="77" s="1"/>
  <c r="J10" i="77" s="1"/>
  <c r="O10" i="77"/>
  <c r="F14" i="77"/>
  <c r="H14" i="77" s="1"/>
  <c r="I14" i="77" s="1"/>
  <c r="J14" i="77" s="1"/>
  <c r="O14" i="77"/>
  <c r="F18" i="77"/>
  <c r="H18" i="77" s="1"/>
  <c r="I18" i="77" s="1"/>
  <c r="J18" i="77" s="1"/>
  <c r="O18" i="77"/>
  <c r="F22" i="77"/>
  <c r="O22" i="77"/>
  <c r="F26" i="77"/>
  <c r="H26" i="77" s="1"/>
  <c r="I26" i="77" s="1"/>
  <c r="J26" i="77" s="1"/>
  <c r="O26" i="77"/>
  <c r="F30" i="77"/>
  <c r="O30" i="77"/>
  <c r="F34" i="77"/>
  <c r="H34" i="77" s="1"/>
  <c r="I34" i="77" s="1"/>
  <c r="J34" i="77" s="1"/>
  <c r="O34" i="77"/>
  <c r="O38" i="77"/>
  <c r="F38" i="77"/>
  <c r="H38" i="77" s="1"/>
  <c r="I38" i="77" s="1"/>
  <c r="J38" i="77" s="1"/>
  <c r="O42" i="77"/>
  <c r="F42" i="77"/>
  <c r="H42" i="77" s="1"/>
  <c r="I42" i="77" s="1"/>
  <c r="J42" i="77" s="1"/>
  <c r="O46" i="77"/>
  <c r="F46" i="77"/>
  <c r="H46" i="77" s="1"/>
  <c r="I46" i="77" s="1"/>
  <c r="J46" i="77" s="1"/>
  <c r="F50" i="77"/>
  <c r="H50" i="77" s="1"/>
  <c r="I50" i="77" s="1"/>
  <c r="J50" i="77" s="1"/>
  <c r="O50" i="77"/>
  <c r="F54" i="77"/>
  <c r="H54" i="77" s="1"/>
  <c r="I54" i="77" s="1"/>
  <c r="J54" i="77" s="1"/>
  <c r="O54" i="77"/>
  <c r="F58" i="77"/>
  <c r="H58" i="77" s="1"/>
  <c r="I58" i="77" s="1"/>
  <c r="J58" i="77" s="1"/>
  <c r="O58" i="77"/>
  <c r="F62" i="77"/>
  <c r="H62" i="77" s="1"/>
  <c r="I62" i="77" s="1"/>
  <c r="J62" i="77" s="1"/>
  <c r="O62" i="77"/>
  <c r="O66" i="77"/>
  <c r="F66" i="77"/>
  <c r="H66" i="77" s="1"/>
  <c r="I66" i="77" s="1"/>
  <c r="J66" i="77" s="1"/>
  <c r="F78" i="77"/>
  <c r="H78" i="77" s="1"/>
  <c r="I78" i="77" s="1"/>
  <c r="J78" i="77" s="1"/>
  <c r="O78" i="77"/>
  <c r="F82" i="77"/>
  <c r="H82" i="77" s="1"/>
  <c r="I82" i="77" s="1"/>
  <c r="J82" i="77" s="1"/>
  <c r="V82" i="77" s="1"/>
  <c r="O82" i="77"/>
  <c r="O86" i="77"/>
  <c r="F86" i="77"/>
  <c r="H86" i="77" s="1"/>
  <c r="I86" i="77" s="1"/>
  <c r="J86" i="77" s="1"/>
  <c r="C102" i="75"/>
  <c r="L117" i="64" s="1"/>
  <c r="N74" i="77"/>
  <c r="H22" i="77"/>
  <c r="I22" i="77" s="1"/>
  <c r="J22" i="77" s="1"/>
  <c r="F4" i="77"/>
  <c r="H4" i="77" s="1"/>
  <c r="I4" i="77" s="1"/>
  <c r="J4" i="77" s="1"/>
  <c r="O5" i="77"/>
  <c r="H13" i="77"/>
  <c r="I13" i="77" s="1"/>
  <c r="J13" i="77" s="1"/>
  <c r="F20" i="77"/>
  <c r="H20" i="77" s="1"/>
  <c r="I20" i="77" s="1"/>
  <c r="J20" i="77" s="1"/>
  <c r="O21" i="77"/>
  <c r="H29" i="77"/>
  <c r="I29" i="77" s="1"/>
  <c r="J29" i="77" s="1"/>
  <c r="F40" i="77"/>
  <c r="H40" i="77" s="1"/>
  <c r="I40" i="77" s="1"/>
  <c r="J40" i="77" s="1"/>
  <c r="O49" i="77"/>
  <c r="E91" i="77"/>
  <c r="F9" i="71"/>
  <c r="F11" i="71"/>
  <c r="F13" i="71"/>
  <c r="F15" i="71"/>
  <c r="F17" i="71"/>
  <c r="F21" i="71"/>
  <c r="F25" i="71"/>
  <c r="F27" i="71"/>
  <c r="F31" i="71"/>
  <c r="F39" i="71"/>
  <c r="F61" i="71"/>
  <c r="F69" i="71"/>
  <c r="F73" i="71"/>
  <c r="F77" i="71"/>
  <c r="F11" i="72"/>
  <c r="F15" i="72"/>
  <c r="F20" i="72"/>
  <c r="F21" i="72"/>
  <c r="G21" i="72" s="1"/>
  <c r="F25" i="72"/>
  <c r="F29" i="72"/>
  <c r="F33" i="72"/>
  <c r="F38" i="72"/>
  <c r="F42" i="72"/>
  <c r="F46" i="72"/>
  <c r="F50" i="72"/>
  <c r="F54" i="72"/>
  <c r="F58" i="72"/>
  <c r="F62" i="72"/>
  <c r="F66" i="72"/>
  <c r="F70" i="72"/>
  <c r="F74" i="72"/>
  <c r="F84" i="72"/>
  <c r="F89" i="72"/>
  <c r="F90" i="72"/>
  <c r="O36" i="77"/>
  <c r="F36" i="77"/>
  <c r="H36" i="77" s="1"/>
  <c r="I36" i="77" s="1"/>
  <c r="J36" i="77" s="1"/>
  <c r="O44" i="77"/>
  <c r="F44" i="77"/>
  <c r="H44" i="77" s="1"/>
  <c r="I44" i="77" s="1"/>
  <c r="J44" i="77" s="1"/>
  <c r="O48" i="77"/>
  <c r="F48" i="77"/>
  <c r="H48" i="77" s="1"/>
  <c r="I48" i="77" s="1"/>
  <c r="J48" i="77" s="1"/>
  <c r="O52" i="77"/>
  <c r="F52" i="77"/>
  <c r="H52" i="77" s="1"/>
  <c r="I52" i="77" s="1"/>
  <c r="J52" i="77" s="1"/>
  <c r="O56" i="77"/>
  <c r="F56" i="77"/>
  <c r="H56" i="77" s="1"/>
  <c r="I56" i="77" s="1"/>
  <c r="J56" i="77" s="1"/>
  <c r="O60" i="77"/>
  <c r="F60" i="77"/>
  <c r="H60" i="77" s="1"/>
  <c r="I60" i="77" s="1"/>
  <c r="J60" i="77" s="1"/>
  <c r="O64" i="77"/>
  <c r="F64" i="77"/>
  <c r="H64" i="77" s="1"/>
  <c r="I64" i="77" s="1"/>
  <c r="J64" i="77" s="1"/>
  <c r="F68" i="77"/>
  <c r="H68" i="77" s="1"/>
  <c r="I68" i="77" s="1"/>
  <c r="J68" i="77" s="1"/>
  <c r="O68" i="77"/>
  <c r="F79" i="77"/>
  <c r="H79" i="77" s="1"/>
  <c r="I79" i="77" s="1"/>
  <c r="J79" i="77" s="1"/>
  <c r="O79" i="77"/>
  <c r="O83" i="77"/>
  <c r="F83" i="77"/>
  <c r="H83" i="77" s="1"/>
  <c r="I83" i="77" s="1"/>
  <c r="J83" i="77" s="1"/>
  <c r="F87" i="77"/>
  <c r="H87" i="77" s="1"/>
  <c r="I87" i="77" s="1"/>
  <c r="J87" i="77" s="1"/>
  <c r="O87" i="77"/>
  <c r="H8" i="77"/>
  <c r="I8" i="77" s="1"/>
  <c r="J8" i="77" s="1"/>
  <c r="H9" i="77"/>
  <c r="I9" i="77" s="1"/>
  <c r="J9" i="77" s="1"/>
  <c r="F16" i="77"/>
  <c r="H16" i="77" s="1"/>
  <c r="I16" i="77" s="1"/>
  <c r="J16" i="77" s="1"/>
  <c r="O17" i="77"/>
  <c r="H24" i="77"/>
  <c r="I24" i="77" s="1"/>
  <c r="J24" i="77" s="1"/>
  <c r="H25" i="77"/>
  <c r="I25" i="77" s="1"/>
  <c r="J25" i="77" s="1"/>
  <c r="H30" i="77"/>
  <c r="I30" i="77" s="1"/>
  <c r="J30" i="77" s="1"/>
  <c r="F32" i="77"/>
  <c r="H32" i="77" s="1"/>
  <c r="I32" i="77" s="1"/>
  <c r="J32" i="77" s="1"/>
  <c r="O33" i="77"/>
  <c r="F8" i="72"/>
  <c r="F12" i="72"/>
  <c r="F17" i="72"/>
  <c r="F22" i="72"/>
  <c r="F26" i="72"/>
  <c r="F30" i="72"/>
  <c r="F34" i="72"/>
  <c r="F35" i="72"/>
  <c r="G35" i="72" s="1"/>
  <c r="F39" i="72"/>
  <c r="F43" i="72"/>
  <c r="F47" i="72"/>
  <c r="F51" i="72"/>
  <c r="F55" i="72"/>
  <c r="F59" i="72"/>
  <c r="F63" i="72"/>
  <c r="F67" i="72"/>
  <c r="F71" i="72"/>
  <c r="F75" i="72"/>
  <c r="F81" i="72"/>
  <c r="F85" i="72"/>
  <c r="F91" i="72"/>
  <c r="O41" i="77"/>
  <c r="F41" i="77"/>
  <c r="H41" i="77" s="1"/>
  <c r="I41" i="77" s="1"/>
  <c r="J41" i="77" s="1"/>
  <c r="O45" i="77"/>
  <c r="F45" i="77"/>
  <c r="H45" i="77" s="1"/>
  <c r="I45" i="77" s="1"/>
  <c r="J45" i="77" s="1"/>
  <c r="O57" i="77"/>
  <c r="F57" i="77"/>
  <c r="H57" i="77" s="1"/>
  <c r="I57" i="77" s="1"/>
  <c r="J57" i="77" s="1"/>
  <c r="O61" i="77"/>
  <c r="F61" i="77"/>
  <c r="H61" i="77" s="1"/>
  <c r="I61" i="77" s="1"/>
  <c r="J61" i="77" s="1"/>
  <c r="F65" i="77"/>
  <c r="H65" i="77" s="1"/>
  <c r="I65" i="77" s="1"/>
  <c r="J65" i="77" s="1"/>
  <c r="O65" i="77"/>
  <c r="O69" i="77"/>
  <c r="F69" i="77"/>
  <c r="H69" i="77" s="1"/>
  <c r="I69" i="77" s="1"/>
  <c r="J69" i="77" s="1"/>
  <c r="F76" i="77"/>
  <c r="H76" i="77" s="1"/>
  <c r="O76" i="77"/>
  <c r="O80" i="77"/>
  <c r="F80" i="77"/>
  <c r="H80" i="77" s="1"/>
  <c r="I80" i="77" s="1"/>
  <c r="J80" i="77" s="1"/>
  <c r="O84" i="77"/>
  <c r="F84" i="77"/>
  <c r="H84" i="77" s="1"/>
  <c r="I84" i="77" s="1"/>
  <c r="J84" i="77" s="1"/>
  <c r="C95" i="73"/>
  <c r="H5" i="77"/>
  <c r="I5" i="77" s="1"/>
  <c r="J5" i="77" s="1"/>
  <c r="F12" i="77"/>
  <c r="H12" i="77" s="1"/>
  <c r="I12" i="77" s="1"/>
  <c r="J12" i="77" s="1"/>
  <c r="O13" i="77"/>
  <c r="H21" i="77"/>
  <c r="I21" i="77" s="1"/>
  <c r="J21" i="77" s="1"/>
  <c r="F28" i="77"/>
  <c r="H28" i="77" s="1"/>
  <c r="I28" i="77" s="1"/>
  <c r="J28" i="77" s="1"/>
  <c r="O29" i="77"/>
  <c r="F37" i="77"/>
  <c r="H37" i="77" s="1"/>
  <c r="I37" i="77" s="1"/>
  <c r="J37" i="77" s="1"/>
  <c r="H70" i="77"/>
  <c r="I70" i="77" s="1"/>
  <c r="J70" i="77" s="1"/>
  <c r="G97" i="77"/>
  <c r="G99" i="77" s="1"/>
  <c r="AH32" i="79"/>
  <c r="H53" i="77"/>
  <c r="I53" i="77" s="1"/>
  <c r="J53" i="77" s="1"/>
  <c r="D74" i="77"/>
  <c r="AH28" i="79"/>
  <c r="AH24" i="79"/>
  <c r="D91" i="77"/>
  <c r="AH25" i="79"/>
  <c r="AH29" i="79"/>
  <c r="I119" i="78"/>
  <c r="W102" i="79"/>
  <c r="AH23" i="79"/>
  <c r="AH26" i="79"/>
  <c r="AH30" i="79"/>
  <c r="AH72" i="79"/>
  <c r="Y79" i="79"/>
  <c r="AG79" i="79"/>
  <c r="AH7" i="79"/>
  <c r="AH9" i="79"/>
  <c r="AH11" i="79"/>
  <c r="AH13" i="79"/>
  <c r="AH15" i="79"/>
  <c r="AH17" i="79"/>
  <c r="AH19" i="79"/>
  <c r="AH21" i="79"/>
  <c r="AH31" i="79"/>
  <c r="AH68" i="79"/>
  <c r="AA79" i="79"/>
  <c r="AC79" i="79"/>
  <c r="AC102" i="79" s="1"/>
  <c r="AH76" i="79"/>
  <c r="AH34" i="79"/>
  <c r="AH36" i="79"/>
  <c r="AH66" i="79"/>
  <c r="AH70" i="79"/>
  <c r="AH74" i="79"/>
  <c r="AH38" i="79"/>
  <c r="AH40" i="79"/>
  <c r="AH42" i="79"/>
  <c r="AH44" i="79"/>
  <c r="AH46" i="79"/>
  <c r="AH48" i="79"/>
  <c r="AH50" i="79"/>
  <c r="AH52" i="79"/>
  <c r="AH54" i="79"/>
  <c r="AH56" i="79"/>
  <c r="AH58" i="79"/>
  <c r="AH60" i="79"/>
  <c r="AH62" i="79"/>
  <c r="AH64" i="79"/>
  <c r="AH88" i="79"/>
  <c r="AA96" i="79"/>
  <c r="AH65" i="79"/>
  <c r="AH67" i="79"/>
  <c r="AH69" i="79"/>
  <c r="AH71" i="79"/>
  <c r="AH73" i="79"/>
  <c r="AH75" i="79"/>
  <c r="AH77" i="79"/>
  <c r="T102" i="79"/>
  <c r="X102" i="79"/>
  <c r="W96" i="79"/>
  <c r="AE96" i="79"/>
  <c r="AE102" i="79" s="1"/>
  <c r="AH84" i="79"/>
  <c r="AH85" i="79"/>
  <c r="AH89" i="79"/>
  <c r="AH82" i="79"/>
  <c r="Z102" i="79"/>
  <c r="Y96" i="79"/>
  <c r="AG96" i="79"/>
  <c r="AH81" i="79"/>
  <c r="AH94" i="79"/>
  <c r="AH98" i="79"/>
  <c r="AH100" i="79" s="1"/>
  <c r="AG100" i="79"/>
  <c r="AX7" i="46"/>
  <c r="AX224" i="46"/>
  <c r="AB117" i="32"/>
  <c r="AD117" i="32"/>
  <c r="AE117" i="32"/>
  <c r="AH3" i="32"/>
  <c r="AG3" i="32"/>
  <c r="N3" i="32"/>
  <c r="Q3" i="32" s="1"/>
  <c r="S3" i="32" s="1"/>
  <c r="AA3" i="32" s="1"/>
  <c r="AH88" i="32"/>
  <c r="AG88" i="32"/>
  <c r="N88" i="32"/>
  <c r="Q88" i="32" s="1"/>
  <c r="S88" i="32" s="1"/>
  <c r="AA88" i="32" s="1"/>
  <c r="AK88" i="32" s="1"/>
  <c r="AL88" i="32" s="1"/>
  <c r="AC2" i="32"/>
  <c r="AC4" i="32"/>
  <c r="AC5" i="32"/>
  <c r="AC6" i="32"/>
  <c r="AC7" i="32"/>
  <c r="AC8" i="32"/>
  <c r="AC9" i="32"/>
  <c r="AC10" i="32"/>
  <c r="AC11" i="32"/>
  <c r="AC12" i="32"/>
  <c r="AC13" i="32"/>
  <c r="AC14" i="32"/>
  <c r="AC15" i="32"/>
  <c r="AC16" i="32"/>
  <c r="AC17" i="32"/>
  <c r="AC18" i="32"/>
  <c r="AC19" i="32"/>
  <c r="AC20" i="32"/>
  <c r="AC21" i="32"/>
  <c r="AC22" i="32"/>
  <c r="AC23" i="32"/>
  <c r="AC24" i="32"/>
  <c r="AC25" i="32"/>
  <c r="AC26" i="32"/>
  <c r="AC27" i="32"/>
  <c r="AC28" i="32"/>
  <c r="AC29" i="32"/>
  <c r="AC30" i="32"/>
  <c r="AC31" i="32"/>
  <c r="AC32" i="32"/>
  <c r="AC33" i="32"/>
  <c r="AC34" i="32"/>
  <c r="AC35" i="32"/>
  <c r="AC36" i="32"/>
  <c r="AC37" i="32"/>
  <c r="AC38" i="32"/>
  <c r="AC39" i="32"/>
  <c r="AC40" i="32"/>
  <c r="AC41" i="32"/>
  <c r="AC42" i="32"/>
  <c r="AC43" i="32"/>
  <c r="AC44" i="32"/>
  <c r="AC45" i="32"/>
  <c r="AC46" i="32"/>
  <c r="AC47" i="32"/>
  <c r="AC48" i="32"/>
  <c r="AC49" i="32"/>
  <c r="AC50" i="32"/>
  <c r="AC51" i="32"/>
  <c r="AC52" i="32"/>
  <c r="AC53" i="32"/>
  <c r="AC54" i="32"/>
  <c r="AC55" i="32"/>
  <c r="AC56" i="32"/>
  <c r="AC57" i="32"/>
  <c r="AC58" i="32"/>
  <c r="AC59" i="32"/>
  <c r="AC60" i="32"/>
  <c r="AC61" i="32"/>
  <c r="AC62" i="32"/>
  <c r="AC63" i="32"/>
  <c r="AC64" i="32"/>
  <c r="AC65" i="32"/>
  <c r="AC66" i="32"/>
  <c r="AC67" i="32"/>
  <c r="AC68" i="32"/>
  <c r="AC69" i="32"/>
  <c r="AC70" i="32"/>
  <c r="AC71" i="32"/>
  <c r="AC72" i="32"/>
  <c r="AC76" i="32"/>
  <c r="AC77" i="32"/>
  <c r="AC78" i="32"/>
  <c r="AC79" i="32"/>
  <c r="AC80" i="32"/>
  <c r="AC81" i="32"/>
  <c r="AC82" i="32"/>
  <c r="AC83" i="32"/>
  <c r="AC84" i="32"/>
  <c r="AC85" i="32"/>
  <c r="AC86" i="32"/>
  <c r="AC87" i="32"/>
  <c r="AC93" i="32"/>
  <c r="AC95" i="32"/>
  <c r="AC96" i="32"/>
  <c r="AC97" i="32"/>
  <c r="AC98" i="32"/>
  <c r="AC99" i="32"/>
  <c r="AC100" i="32"/>
  <c r="AC101" i="32"/>
  <c r="AC102" i="32"/>
  <c r="K96" i="32"/>
  <c r="K109" i="32" s="1"/>
  <c r="L96" i="32"/>
  <c r="K97" i="32"/>
  <c r="L97" i="32"/>
  <c r="K110" i="32" s="1"/>
  <c r="K98" i="32"/>
  <c r="K111" i="32" s="1"/>
  <c r="L98" i="32"/>
  <c r="K99" i="32"/>
  <c r="K112" i="32" s="1"/>
  <c r="L99" i="32"/>
  <c r="K100" i="32"/>
  <c r="K113" i="32" s="1"/>
  <c r="L100" i="32"/>
  <c r="K101" i="32"/>
  <c r="K114" i="32" s="1"/>
  <c r="L101" i="32"/>
  <c r="K102" i="32"/>
  <c r="K115" i="32" s="1"/>
  <c r="L102" i="32"/>
  <c r="L95" i="32"/>
  <c r="K95" i="32"/>
  <c r="AG104" i="32"/>
  <c r="AH93" i="32"/>
  <c r="AG93" i="32"/>
  <c r="AH87" i="32"/>
  <c r="AG87" i="32"/>
  <c r="AH86" i="32"/>
  <c r="AG86" i="32"/>
  <c r="AH85" i="32"/>
  <c r="AG85" i="32"/>
  <c r="AH84" i="32"/>
  <c r="AG84" i="32"/>
  <c r="AH83" i="32"/>
  <c r="AG83" i="32"/>
  <c r="AH82" i="32"/>
  <c r="AG82" i="32"/>
  <c r="AH81" i="32"/>
  <c r="AG81" i="32"/>
  <c r="AH80" i="32"/>
  <c r="AG80" i="32"/>
  <c r="AH79" i="32"/>
  <c r="AG79" i="32"/>
  <c r="AH78" i="32"/>
  <c r="AG78" i="32"/>
  <c r="AH77" i="32"/>
  <c r="AG77" i="32"/>
  <c r="AH76" i="32"/>
  <c r="AG76" i="32"/>
  <c r="AG4" i="32"/>
  <c r="AH4" i="32"/>
  <c r="AG5" i="32"/>
  <c r="AH5" i="32"/>
  <c r="AG6" i="32"/>
  <c r="AH6" i="32"/>
  <c r="AG7" i="32"/>
  <c r="AH7" i="32"/>
  <c r="AG8" i="32"/>
  <c r="AH8" i="32"/>
  <c r="AG9" i="32"/>
  <c r="AH9" i="32"/>
  <c r="AG10" i="32"/>
  <c r="AH10" i="32"/>
  <c r="AG11" i="32"/>
  <c r="AH11" i="32"/>
  <c r="AG12" i="32"/>
  <c r="AH12" i="32"/>
  <c r="AG13" i="32"/>
  <c r="AH13" i="32"/>
  <c r="AG14" i="32"/>
  <c r="AH14" i="32"/>
  <c r="AG15" i="32"/>
  <c r="AH15" i="32"/>
  <c r="AG16" i="32"/>
  <c r="AH16" i="32"/>
  <c r="AG17" i="32"/>
  <c r="AH17" i="32"/>
  <c r="AG18" i="32"/>
  <c r="AH18" i="32"/>
  <c r="AG19" i="32"/>
  <c r="AH19" i="32"/>
  <c r="AG20" i="32"/>
  <c r="AH20" i="32"/>
  <c r="AG21" i="32"/>
  <c r="AH21" i="32"/>
  <c r="AG22" i="32"/>
  <c r="AH22" i="32"/>
  <c r="AG23" i="32"/>
  <c r="AH23" i="32"/>
  <c r="AG24" i="32"/>
  <c r="AH24" i="32"/>
  <c r="AG25" i="32"/>
  <c r="AH25" i="32"/>
  <c r="AG26" i="32"/>
  <c r="AH26" i="32"/>
  <c r="AG27" i="32"/>
  <c r="AH27" i="32"/>
  <c r="AG28" i="32"/>
  <c r="AH28" i="32"/>
  <c r="AG29" i="32"/>
  <c r="AH29" i="32"/>
  <c r="AG30" i="32"/>
  <c r="AH30" i="32"/>
  <c r="AG31" i="32"/>
  <c r="AH31" i="32"/>
  <c r="AG32" i="32"/>
  <c r="AH32" i="32"/>
  <c r="AG33" i="32"/>
  <c r="AH33" i="32"/>
  <c r="AG34" i="32"/>
  <c r="AH34" i="32"/>
  <c r="AG35" i="32"/>
  <c r="AH35" i="32"/>
  <c r="AG36" i="32"/>
  <c r="AH36" i="32"/>
  <c r="AG37" i="32"/>
  <c r="AH37" i="32"/>
  <c r="AG38" i="32"/>
  <c r="AH38" i="32"/>
  <c r="AG39" i="32"/>
  <c r="AH39" i="32"/>
  <c r="AG40" i="32"/>
  <c r="AH40" i="32"/>
  <c r="AG41" i="32"/>
  <c r="AH41" i="32"/>
  <c r="AG42" i="32"/>
  <c r="AH42" i="32"/>
  <c r="AG43" i="32"/>
  <c r="AH43" i="32"/>
  <c r="AG44" i="32"/>
  <c r="AH44" i="32"/>
  <c r="AG45" i="32"/>
  <c r="AH45" i="32"/>
  <c r="AG46" i="32"/>
  <c r="AH46" i="32"/>
  <c r="AG47" i="32"/>
  <c r="AH47" i="32"/>
  <c r="AG48" i="32"/>
  <c r="AH48" i="32"/>
  <c r="AG49" i="32"/>
  <c r="AH49" i="32"/>
  <c r="AG50" i="32"/>
  <c r="AH50" i="32"/>
  <c r="AG51" i="32"/>
  <c r="AH51" i="32"/>
  <c r="AG52" i="32"/>
  <c r="AH52" i="32"/>
  <c r="AG53" i="32"/>
  <c r="AH53" i="32"/>
  <c r="AG54" i="32"/>
  <c r="AH54" i="32"/>
  <c r="AG55" i="32"/>
  <c r="AH55" i="32"/>
  <c r="AG56" i="32"/>
  <c r="AH56" i="32"/>
  <c r="AG57" i="32"/>
  <c r="AH57" i="32"/>
  <c r="AG58" i="32"/>
  <c r="AH58" i="32"/>
  <c r="AG59" i="32"/>
  <c r="AH59" i="32"/>
  <c r="AG60" i="32"/>
  <c r="AH60" i="32"/>
  <c r="AG61" i="32"/>
  <c r="AH61" i="32"/>
  <c r="AG62" i="32"/>
  <c r="AH62" i="32"/>
  <c r="AG63" i="32"/>
  <c r="AH63" i="32"/>
  <c r="AG64" i="32"/>
  <c r="AH64" i="32"/>
  <c r="AG65" i="32"/>
  <c r="AH65" i="32"/>
  <c r="AG66" i="32"/>
  <c r="AH66" i="32"/>
  <c r="AG67" i="32"/>
  <c r="AH67" i="32"/>
  <c r="AG68" i="32"/>
  <c r="AH68" i="32"/>
  <c r="AG69" i="32"/>
  <c r="AH69" i="32"/>
  <c r="AG70" i="32"/>
  <c r="AH70" i="32"/>
  <c r="AG71" i="32"/>
  <c r="AH71" i="32"/>
  <c r="AG72" i="32"/>
  <c r="AH72" i="32"/>
  <c r="AH2" i="32"/>
  <c r="AG2" i="32"/>
  <c r="K67" i="68" l="1"/>
  <c r="J97" i="64"/>
  <c r="J118" i="64" s="1"/>
  <c r="V62" i="77"/>
  <c r="H93" i="77"/>
  <c r="L97" i="64"/>
  <c r="V44" i="77"/>
  <c r="V65" i="77"/>
  <c r="V32" i="77"/>
  <c r="V63" i="77"/>
  <c r="V70" i="77"/>
  <c r="V36" i="77"/>
  <c r="V4" i="77"/>
  <c r="Z145" i="64"/>
  <c r="D95" i="72"/>
  <c r="Z67" i="66"/>
  <c r="K104" i="32"/>
  <c r="L104" i="32"/>
  <c r="AK3" i="32"/>
  <c r="AL3" i="32" s="1"/>
  <c r="K108" i="32"/>
  <c r="Y95" i="32"/>
  <c r="V68" i="77"/>
  <c r="AO66" i="66"/>
  <c r="C62" i="71" s="1"/>
  <c r="E62" i="71" s="1"/>
  <c r="G62" i="71" s="1"/>
  <c r="M62" i="79" s="1"/>
  <c r="N62" i="79" s="1"/>
  <c r="C96" i="79"/>
  <c r="O97" i="64"/>
  <c r="V12" i="77"/>
  <c r="D79" i="72"/>
  <c r="D101" i="72" s="1"/>
  <c r="V61" i="77"/>
  <c r="V48" i="77"/>
  <c r="V85" i="77"/>
  <c r="V59" i="77"/>
  <c r="V24" i="77"/>
  <c r="V87" i="77"/>
  <c r="V60" i="77"/>
  <c r="V52" i="77"/>
  <c r="O74" i="77"/>
  <c r="O91" i="77"/>
  <c r="V69" i="77"/>
  <c r="V71" i="77"/>
  <c r="V86" i="77"/>
  <c r="V16" i="77"/>
  <c r="V67" i="77"/>
  <c r="V56" i="77"/>
  <c r="V64" i="77"/>
  <c r="V28" i="77"/>
  <c r="V66" i="77"/>
  <c r="V8" i="77"/>
  <c r="V58" i="77"/>
  <c r="V77" i="77"/>
  <c r="V57" i="77"/>
  <c r="V40" i="77"/>
  <c r="V80" i="77"/>
  <c r="V83" i="77"/>
  <c r="V20" i="77"/>
  <c r="D79" i="79"/>
  <c r="O99" i="64"/>
  <c r="O98" i="64"/>
  <c r="O137" i="64"/>
  <c r="L84" i="68"/>
  <c r="K8" i="68"/>
  <c r="N98" i="68"/>
  <c r="N99" i="68" s="1"/>
  <c r="C98" i="68"/>
  <c r="S98" i="68" s="1"/>
  <c r="G85" i="71"/>
  <c r="M85" i="79" s="1"/>
  <c r="N85" i="79" s="1"/>
  <c r="E93" i="72"/>
  <c r="G93" i="72" s="1"/>
  <c r="O94" i="79" s="1"/>
  <c r="P94" i="79" s="1"/>
  <c r="BC71" i="66"/>
  <c r="C66" i="69" s="1"/>
  <c r="D66" i="69" s="1"/>
  <c r="E61" i="64" s="1"/>
  <c r="G82" i="71"/>
  <c r="M82" i="79" s="1"/>
  <c r="N82" i="79" s="1"/>
  <c r="L89" i="68"/>
  <c r="G25" i="72"/>
  <c r="H20" i="64" s="1"/>
  <c r="G91" i="72"/>
  <c r="O91" i="79" s="1"/>
  <c r="P91" i="79" s="1"/>
  <c r="G75" i="72"/>
  <c r="O75" i="79" s="1"/>
  <c r="P75" i="79" s="1"/>
  <c r="AD67" i="66"/>
  <c r="G42" i="72"/>
  <c r="O42" i="79" s="1"/>
  <c r="P42" i="79" s="1"/>
  <c r="G9" i="71"/>
  <c r="M9" i="79" s="1"/>
  <c r="N9" i="79" s="1"/>
  <c r="G46" i="72"/>
  <c r="H41" i="64" s="1"/>
  <c r="G74" i="72"/>
  <c r="H69" i="64" s="1"/>
  <c r="G15" i="72"/>
  <c r="O15" i="79" s="1"/>
  <c r="P15" i="79" s="1"/>
  <c r="G59" i="72"/>
  <c r="O59" i="79" s="1"/>
  <c r="P59" i="79" s="1"/>
  <c r="K20" i="68"/>
  <c r="K24" i="68"/>
  <c r="BC66" i="66"/>
  <c r="C62" i="69" s="1"/>
  <c r="D62" i="69" s="1"/>
  <c r="E57" i="64" s="1"/>
  <c r="J89" i="68"/>
  <c r="M75" i="68"/>
  <c r="O75" i="68" s="1"/>
  <c r="G76" i="79" s="1"/>
  <c r="H76" i="79" s="1"/>
  <c r="C100" i="70"/>
  <c r="J81" i="68"/>
  <c r="L86" i="68"/>
  <c r="M20" i="68"/>
  <c r="K16" i="68"/>
  <c r="G43" i="72"/>
  <c r="H38" i="64" s="1"/>
  <c r="BC80" i="66"/>
  <c r="C74" i="69" s="1"/>
  <c r="D74" i="69" s="1"/>
  <c r="I74" i="79" s="1"/>
  <c r="J74" i="79" s="1"/>
  <c r="G26" i="72"/>
  <c r="H21" i="64" s="1"/>
  <c r="G90" i="72"/>
  <c r="O90" i="79" s="1"/>
  <c r="P90" i="79" s="1"/>
  <c r="G85" i="72"/>
  <c r="O85" i="79" s="1"/>
  <c r="P85" i="79" s="1"/>
  <c r="G51" i="72"/>
  <c r="H46" i="64" s="1"/>
  <c r="G22" i="72"/>
  <c r="O22" i="79" s="1"/>
  <c r="P22" i="79" s="1"/>
  <c r="G89" i="72"/>
  <c r="H84" i="64" s="1"/>
  <c r="G66" i="72"/>
  <c r="H61" i="64" s="1"/>
  <c r="G50" i="72"/>
  <c r="O50" i="79" s="1"/>
  <c r="P50" i="79" s="1"/>
  <c r="F7" i="72"/>
  <c r="F79" i="72" s="1"/>
  <c r="G25" i="71"/>
  <c r="M25" i="79" s="1"/>
  <c r="N25" i="79" s="1"/>
  <c r="G17" i="71"/>
  <c r="M17" i="79" s="1"/>
  <c r="N17" i="79" s="1"/>
  <c r="F97" i="71"/>
  <c r="F99" i="71" s="1"/>
  <c r="BC90" i="66"/>
  <c r="C93" i="69" s="1"/>
  <c r="D93" i="69" s="1"/>
  <c r="AO80" i="66"/>
  <c r="C74" i="71" s="1"/>
  <c r="E74" i="71" s="1"/>
  <c r="G74" i="71" s="1"/>
  <c r="M74" i="79" s="1"/>
  <c r="N74" i="79" s="1"/>
  <c r="AY87" i="66"/>
  <c r="AY93" i="66" s="1"/>
  <c r="D102" i="72" s="1"/>
  <c r="L77" i="79"/>
  <c r="L79" i="79" s="1"/>
  <c r="K79" i="79"/>
  <c r="G21" i="71"/>
  <c r="M21" i="79" s="1"/>
  <c r="N21" i="79" s="1"/>
  <c r="J84" i="68"/>
  <c r="Y84" i="68"/>
  <c r="N89" i="68"/>
  <c r="U89" i="68"/>
  <c r="M8" i="68"/>
  <c r="O8" i="68" s="1"/>
  <c r="T8" i="68"/>
  <c r="G86" i="72"/>
  <c r="O86" i="79" s="1"/>
  <c r="P86" i="79" s="1"/>
  <c r="G8" i="72"/>
  <c r="H3" i="64" s="1"/>
  <c r="G70" i="72"/>
  <c r="O70" i="79" s="1"/>
  <c r="P70" i="79" s="1"/>
  <c r="G54" i="72"/>
  <c r="H49" i="64" s="1"/>
  <c r="G38" i="72"/>
  <c r="H33" i="64" s="1"/>
  <c r="J71" i="68"/>
  <c r="T71" i="68"/>
  <c r="BC75" i="66"/>
  <c r="C70" i="69" s="1"/>
  <c r="D70" i="69" s="1"/>
  <c r="I70" i="79" s="1"/>
  <c r="J70" i="79" s="1"/>
  <c r="J75" i="68"/>
  <c r="M16" i="68"/>
  <c r="J20" i="68"/>
  <c r="M12" i="68"/>
  <c r="X12" i="68"/>
  <c r="J8" i="68"/>
  <c r="N81" i="68"/>
  <c r="U81" i="68"/>
  <c r="G87" i="71"/>
  <c r="G82" i="64" s="1"/>
  <c r="G20" i="72"/>
  <c r="H15" i="64" s="1"/>
  <c r="M67" i="68"/>
  <c r="O67" i="68" s="1"/>
  <c r="T67" i="68"/>
  <c r="M63" i="68"/>
  <c r="O63" i="68" s="1"/>
  <c r="T63" i="68"/>
  <c r="M24" i="68"/>
  <c r="T24" i="68"/>
  <c r="G34" i="72"/>
  <c r="H29" i="64" s="1"/>
  <c r="G17" i="72"/>
  <c r="O17" i="79" s="1"/>
  <c r="P17" i="79" s="1"/>
  <c r="G84" i="72"/>
  <c r="H79" i="64" s="1"/>
  <c r="G62" i="72"/>
  <c r="H57" i="64" s="1"/>
  <c r="G29" i="72"/>
  <c r="O29" i="79" s="1"/>
  <c r="P29" i="79" s="1"/>
  <c r="F97" i="72"/>
  <c r="F99" i="72" s="1"/>
  <c r="AB74" i="66"/>
  <c r="F68" i="68" s="1"/>
  <c r="X68" i="68" s="1"/>
  <c r="AH67" i="66"/>
  <c r="L81" i="68"/>
  <c r="N86" i="68"/>
  <c r="AC86" i="68"/>
  <c r="J24" i="68"/>
  <c r="J16" i="68"/>
  <c r="K82" i="79"/>
  <c r="L82" i="79" s="1"/>
  <c r="F77" i="64"/>
  <c r="K69" i="68"/>
  <c r="O61" i="79"/>
  <c r="P61" i="79" s="1"/>
  <c r="H56" i="64"/>
  <c r="O45" i="79"/>
  <c r="P45" i="79" s="1"/>
  <c r="H40" i="64"/>
  <c r="O24" i="79"/>
  <c r="P24" i="79" s="1"/>
  <c r="H19" i="64"/>
  <c r="O57" i="79"/>
  <c r="P57" i="79" s="1"/>
  <c r="H52" i="64"/>
  <c r="O88" i="79"/>
  <c r="P88" i="79" s="1"/>
  <c r="H83" i="64"/>
  <c r="O23" i="79"/>
  <c r="P23" i="79" s="1"/>
  <c r="H18" i="64"/>
  <c r="O40" i="79"/>
  <c r="P40" i="79" s="1"/>
  <c r="H35" i="64"/>
  <c r="O60" i="79"/>
  <c r="P60" i="79" s="1"/>
  <c r="H55" i="64"/>
  <c r="O76" i="79"/>
  <c r="P76" i="79" s="1"/>
  <c r="H71" i="64"/>
  <c r="M72" i="79"/>
  <c r="N72" i="79" s="1"/>
  <c r="G67" i="64"/>
  <c r="O53" i="79"/>
  <c r="P53" i="79" s="1"/>
  <c r="H48" i="64"/>
  <c r="O37" i="79"/>
  <c r="P37" i="79" s="1"/>
  <c r="H32" i="64"/>
  <c r="O41" i="79"/>
  <c r="P41" i="79" s="1"/>
  <c r="H36" i="64"/>
  <c r="O83" i="79"/>
  <c r="P83" i="79" s="1"/>
  <c r="H78" i="64"/>
  <c r="O13" i="79"/>
  <c r="P13" i="79" s="1"/>
  <c r="H8" i="64"/>
  <c r="O36" i="79"/>
  <c r="P36" i="79" s="1"/>
  <c r="H31" i="64"/>
  <c r="O52" i="79"/>
  <c r="P52" i="79" s="1"/>
  <c r="H47" i="64"/>
  <c r="O72" i="79"/>
  <c r="P72" i="79" s="1"/>
  <c r="H67" i="64"/>
  <c r="O92" i="79"/>
  <c r="P92" i="79" s="1"/>
  <c r="H87" i="64"/>
  <c r="M68" i="79"/>
  <c r="N68" i="79" s="1"/>
  <c r="G63" i="64"/>
  <c r="I73" i="79"/>
  <c r="J73" i="79" s="1"/>
  <c r="E68" i="64"/>
  <c r="E102" i="78"/>
  <c r="E104" i="78" s="1"/>
  <c r="E103" i="67"/>
  <c r="E112" i="67"/>
  <c r="O32" i="79"/>
  <c r="P32" i="79" s="1"/>
  <c r="H27" i="64"/>
  <c r="D102" i="78"/>
  <c r="D104" i="78" s="1"/>
  <c r="D112" i="67"/>
  <c r="D103" i="67"/>
  <c r="O65" i="79"/>
  <c r="P65" i="79" s="1"/>
  <c r="H60" i="64"/>
  <c r="O27" i="79"/>
  <c r="P27" i="79" s="1"/>
  <c r="H22" i="64"/>
  <c r="O44" i="79"/>
  <c r="P44" i="79" s="1"/>
  <c r="H39" i="64"/>
  <c r="O64" i="79"/>
  <c r="P64" i="79" s="1"/>
  <c r="H59" i="64"/>
  <c r="O82" i="79"/>
  <c r="P82" i="79" s="1"/>
  <c r="H77" i="64"/>
  <c r="K36" i="68"/>
  <c r="H91" i="77"/>
  <c r="I76" i="77"/>
  <c r="O19" i="79"/>
  <c r="P19" i="79" s="1"/>
  <c r="H14" i="64"/>
  <c r="O69" i="79"/>
  <c r="P69" i="79" s="1"/>
  <c r="H64" i="64"/>
  <c r="O28" i="79"/>
  <c r="P28" i="79" s="1"/>
  <c r="H23" i="64"/>
  <c r="O73" i="79"/>
  <c r="P73" i="79" s="1"/>
  <c r="H68" i="64"/>
  <c r="O9" i="79"/>
  <c r="P9" i="79" s="1"/>
  <c r="H4" i="64"/>
  <c r="O31" i="79"/>
  <c r="P31" i="79" s="1"/>
  <c r="H26" i="64"/>
  <c r="O48" i="79"/>
  <c r="P48" i="79" s="1"/>
  <c r="H43" i="64"/>
  <c r="O68" i="79"/>
  <c r="P68" i="79" s="1"/>
  <c r="H63" i="64"/>
  <c r="O87" i="79"/>
  <c r="P87" i="79" s="1"/>
  <c r="H82" i="64"/>
  <c r="M64" i="79"/>
  <c r="N64" i="79" s="1"/>
  <c r="G59" i="64"/>
  <c r="M76" i="79"/>
  <c r="N76" i="79" s="1"/>
  <c r="G71" i="64"/>
  <c r="AG102" i="79"/>
  <c r="O21" i="79"/>
  <c r="P21" i="79" s="1"/>
  <c r="H16" i="64"/>
  <c r="L121" i="64"/>
  <c r="L118" i="64"/>
  <c r="F74" i="77"/>
  <c r="Q89" i="67"/>
  <c r="C84" i="64"/>
  <c r="H102" i="78"/>
  <c r="H104" i="78" s="1"/>
  <c r="H112" i="67"/>
  <c r="C12" i="79"/>
  <c r="F12" i="79" s="1"/>
  <c r="W12" i="67"/>
  <c r="M12" i="67"/>
  <c r="L7" i="77" s="1"/>
  <c r="AI7" i="77" s="1"/>
  <c r="N12" i="67"/>
  <c r="C8" i="66"/>
  <c r="AA102" i="79"/>
  <c r="Y102" i="79"/>
  <c r="D97" i="77"/>
  <c r="D99" i="77" s="1"/>
  <c r="G13" i="71"/>
  <c r="Q87" i="67"/>
  <c r="C82" i="64"/>
  <c r="E81" i="79"/>
  <c r="L96" i="67"/>
  <c r="Y81" i="67"/>
  <c r="D84" i="79"/>
  <c r="X84" i="67"/>
  <c r="D39" i="66"/>
  <c r="N92" i="67"/>
  <c r="C102" i="78"/>
  <c r="C104" i="78" s="1"/>
  <c r="C103" i="67"/>
  <c r="C104" i="67"/>
  <c r="C112" i="67"/>
  <c r="C48" i="79"/>
  <c r="F48" i="79" s="1"/>
  <c r="W48" i="67"/>
  <c r="M48" i="67"/>
  <c r="L43" i="77" s="1"/>
  <c r="AI43" i="77" s="1"/>
  <c r="N48" i="67"/>
  <c r="C51" i="66"/>
  <c r="C32" i="79"/>
  <c r="F32" i="79" s="1"/>
  <c r="W32" i="67"/>
  <c r="M32" i="67"/>
  <c r="L27" i="77" s="1"/>
  <c r="AI27" i="77" s="1"/>
  <c r="N32" i="67"/>
  <c r="C30" i="66"/>
  <c r="C16" i="79"/>
  <c r="F16" i="79" s="1"/>
  <c r="J103" i="78"/>
  <c r="W16" i="67"/>
  <c r="M16" i="67"/>
  <c r="N16" i="67"/>
  <c r="C12" i="66"/>
  <c r="I85" i="79"/>
  <c r="J85" i="79" s="1"/>
  <c r="E80" i="64"/>
  <c r="C47" i="79"/>
  <c r="F47" i="79" s="1"/>
  <c r="W47" i="67"/>
  <c r="M47" i="67"/>
  <c r="L42" i="77" s="1"/>
  <c r="AI42" i="77" s="1"/>
  <c r="N47" i="67"/>
  <c r="C50" i="66"/>
  <c r="C31" i="79"/>
  <c r="F31" i="79" s="1"/>
  <c r="W31" i="67"/>
  <c r="M31" i="67"/>
  <c r="L26" i="77" s="1"/>
  <c r="AI26" i="77" s="1"/>
  <c r="N31" i="67"/>
  <c r="C29" i="66"/>
  <c r="F103" i="78"/>
  <c r="C7" i="79"/>
  <c r="J110" i="67"/>
  <c r="H125" i="78" s="1"/>
  <c r="J79" i="67"/>
  <c r="W7" i="67"/>
  <c r="M7" i="67"/>
  <c r="N7" i="67"/>
  <c r="C3" i="66"/>
  <c r="AX3" i="66" s="1"/>
  <c r="D81" i="79"/>
  <c r="X81" i="67"/>
  <c r="M81" i="67"/>
  <c r="K96" i="67"/>
  <c r="D22" i="66"/>
  <c r="I13" i="79"/>
  <c r="J13" i="79" s="1"/>
  <c r="E8" i="64"/>
  <c r="I29" i="79"/>
  <c r="J29" i="79" s="1"/>
  <c r="E24" i="64"/>
  <c r="I9" i="79"/>
  <c r="J9" i="79" s="1"/>
  <c r="E4" i="64"/>
  <c r="I25" i="79"/>
  <c r="J25" i="79" s="1"/>
  <c r="E20" i="64"/>
  <c r="Q73" i="67"/>
  <c r="C68" i="64"/>
  <c r="AO76" i="66"/>
  <c r="C71" i="71" s="1"/>
  <c r="E71" i="71" s="1"/>
  <c r="G71" i="71" s="1"/>
  <c r="G76" i="66"/>
  <c r="C70" i="68" s="1"/>
  <c r="R70" i="68" s="1"/>
  <c r="F71" i="79"/>
  <c r="Q65" i="67"/>
  <c r="C60" i="64"/>
  <c r="AO68" i="66"/>
  <c r="C63" i="71" s="1"/>
  <c r="E63" i="71" s="1"/>
  <c r="G63" i="71" s="1"/>
  <c r="G68" i="66"/>
  <c r="C62" i="68" s="1"/>
  <c r="R62" i="68" s="1"/>
  <c r="F63" i="79"/>
  <c r="AB48" i="66"/>
  <c r="F44" i="68" s="1"/>
  <c r="X44" i="68" s="1"/>
  <c r="BC48" i="66"/>
  <c r="C45" i="69" s="1"/>
  <c r="D45" i="69" s="1"/>
  <c r="AF48" i="66"/>
  <c r="H44" i="68" s="1"/>
  <c r="AB44" i="68" s="1"/>
  <c r="Q29" i="67"/>
  <c r="C24" i="64"/>
  <c r="Q13" i="67"/>
  <c r="C8" i="64"/>
  <c r="AD90" i="66"/>
  <c r="K98" i="79"/>
  <c r="D100" i="70"/>
  <c r="F93" i="64"/>
  <c r="F95" i="64" s="1"/>
  <c r="X78" i="66"/>
  <c r="D72" i="68" s="1"/>
  <c r="T72" i="68" s="1"/>
  <c r="AF72" i="66"/>
  <c r="H66" i="68" s="1"/>
  <c r="AB66" i="68" s="1"/>
  <c r="AF70" i="66"/>
  <c r="H64" i="68" s="1"/>
  <c r="AB64" i="68" s="1"/>
  <c r="AF68" i="66"/>
  <c r="H62" i="68" s="1"/>
  <c r="AB62" i="68" s="1"/>
  <c r="AP82" i="66"/>
  <c r="D91" i="71" s="1"/>
  <c r="F91" i="71" s="1"/>
  <c r="G91" i="71" s="1"/>
  <c r="H82" i="66"/>
  <c r="C90" i="68" s="1"/>
  <c r="S90" i="68" s="1"/>
  <c r="AB41" i="66"/>
  <c r="F40" i="68" s="1"/>
  <c r="X40" i="68" s="1"/>
  <c r="BC41" i="66"/>
  <c r="C41" i="69" s="1"/>
  <c r="D41" i="69" s="1"/>
  <c r="G90" i="66"/>
  <c r="AI82" i="66"/>
  <c r="I90" i="68" s="1"/>
  <c r="AE90" i="68" s="1"/>
  <c r="AD81" i="66"/>
  <c r="G74" i="68" s="1"/>
  <c r="Z74" i="68" s="1"/>
  <c r="AO78" i="66"/>
  <c r="C73" i="71" s="1"/>
  <c r="E73" i="71" s="1"/>
  <c r="G73" i="71" s="1"/>
  <c r="AO74" i="66"/>
  <c r="C69" i="71" s="1"/>
  <c r="E69" i="71" s="1"/>
  <c r="G69" i="71" s="1"/>
  <c r="AO70" i="66"/>
  <c r="C65" i="71" s="1"/>
  <c r="E65" i="71" s="1"/>
  <c r="G65" i="71" s="1"/>
  <c r="AD65" i="66"/>
  <c r="G60" i="68" s="1"/>
  <c r="Z60" i="68" s="1"/>
  <c r="F76" i="79"/>
  <c r="Q66" i="67"/>
  <c r="C61" i="64"/>
  <c r="Q64" i="67"/>
  <c r="C59" i="64"/>
  <c r="F62" i="79"/>
  <c r="Q53" i="67"/>
  <c r="C48" i="64"/>
  <c r="C38" i="79"/>
  <c r="F38" i="79" s="1"/>
  <c r="W38" i="67"/>
  <c r="M38" i="67"/>
  <c r="L33" i="77" s="1"/>
  <c r="N38" i="67"/>
  <c r="C36" i="66"/>
  <c r="Y79" i="67"/>
  <c r="AB90" i="66"/>
  <c r="AD78" i="66"/>
  <c r="G72" i="68" s="1"/>
  <c r="Z72" i="68" s="1"/>
  <c r="Z76" i="66"/>
  <c r="E70" i="68" s="1"/>
  <c r="V70" i="68" s="1"/>
  <c r="Z74" i="66"/>
  <c r="E68" i="68" s="1"/>
  <c r="V68" i="68" s="1"/>
  <c r="AO71" i="66"/>
  <c r="C66" i="71" s="1"/>
  <c r="E66" i="71" s="1"/>
  <c r="G66" i="71" s="1"/>
  <c r="AH68" i="66"/>
  <c r="I62" i="68" s="1"/>
  <c r="AD62" i="68" s="1"/>
  <c r="AD66" i="66"/>
  <c r="G61" i="68" s="1"/>
  <c r="Z61" i="68" s="1"/>
  <c r="F82" i="79"/>
  <c r="Q49" i="67"/>
  <c r="C44" i="64"/>
  <c r="C34" i="79"/>
  <c r="F34" i="79" s="1"/>
  <c r="W34" i="67"/>
  <c r="M34" i="67"/>
  <c r="L29" i="77" s="1"/>
  <c r="AI29" i="77" s="1"/>
  <c r="N34" i="67"/>
  <c r="C32" i="66"/>
  <c r="J92" i="68"/>
  <c r="L92" i="68"/>
  <c r="AC82" i="66"/>
  <c r="F90" i="68" s="1"/>
  <c r="Y90" i="68" s="1"/>
  <c r="X81" i="66"/>
  <c r="D74" i="68" s="1"/>
  <c r="T74" i="68" s="1"/>
  <c r="G78" i="66"/>
  <c r="C72" i="68" s="1"/>
  <c r="R72" i="68" s="1"/>
  <c r="AH75" i="66"/>
  <c r="I69" i="68" s="1"/>
  <c r="AD69" i="68" s="1"/>
  <c r="AD71" i="66"/>
  <c r="G65" i="68" s="1"/>
  <c r="Z65" i="68" s="1"/>
  <c r="G60" i="66"/>
  <c r="C56" i="68" s="1"/>
  <c r="R56" i="68" s="1"/>
  <c r="AO31" i="66"/>
  <c r="C33" i="71" s="1"/>
  <c r="E33" i="71" s="1"/>
  <c r="G33" i="71" s="1"/>
  <c r="J67" i="68"/>
  <c r="X60" i="66"/>
  <c r="D56" i="68" s="1"/>
  <c r="T56" i="68" s="1"/>
  <c r="AH56" i="66"/>
  <c r="I52" i="68" s="1"/>
  <c r="AD52" i="68" s="1"/>
  <c r="AD48" i="66"/>
  <c r="G44" i="68" s="1"/>
  <c r="Z44" i="68" s="1"/>
  <c r="AD35" i="66"/>
  <c r="G36" i="68" s="1"/>
  <c r="Z36" i="68" s="1"/>
  <c r="AF75" i="66"/>
  <c r="H69" i="68" s="1"/>
  <c r="AB69" i="68" s="1"/>
  <c r="J63" i="68"/>
  <c r="G56" i="66"/>
  <c r="C52" i="68" s="1"/>
  <c r="R52" i="68" s="1"/>
  <c r="AO35" i="66"/>
  <c r="C37" i="71" s="1"/>
  <c r="E37" i="71" s="1"/>
  <c r="G37" i="71" s="1"/>
  <c r="AD25" i="66"/>
  <c r="G28" i="68" s="1"/>
  <c r="Z28" i="68" s="1"/>
  <c r="AB71" i="66"/>
  <c r="F65" i="68" s="1"/>
  <c r="X65" i="68" s="1"/>
  <c r="AH52" i="66"/>
  <c r="I48" i="68" s="1"/>
  <c r="AD48" i="68" s="1"/>
  <c r="AD41" i="66"/>
  <c r="G40" i="68" s="1"/>
  <c r="Z40" i="68" s="1"/>
  <c r="AO25" i="66"/>
  <c r="C29" i="71" s="1"/>
  <c r="E29" i="71" s="1"/>
  <c r="G29" i="71" s="1"/>
  <c r="N84" i="68"/>
  <c r="X31" i="66"/>
  <c r="D32" i="68" s="1"/>
  <c r="T32" i="68" s="1"/>
  <c r="AN117" i="65"/>
  <c r="AN115" i="65"/>
  <c r="AN121" i="65" s="1"/>
  <c r="AL121" i="65"/>
  <c r="AK121" i="65"/>
  <c r="AN111" i="65"/>
  <c r="AN105" i="65"/>
  <c r="J99" i="64"/>
  <c r="J98" i="64"/>
  <c r="J137" i="64"/>
  <c r="H95" i="77"/>
  <c r="I93" i="77"/>
  <c r="AH96" i="79"/>
  <c r="C101" i="73"/>
  <c r="I117" i="64" s="1"/>
  <c r="O16" i="79"/>
  <c r="P16" i="79" s="1"/>
  <c r="H11" i="64"/>
  <c r="N78" i="77"/>
  <c r="N91" i="77" s="1"/>
  <c r="K78" i="64"/>
  <c r="K91" i="64" s="1"/>
  <c r="V81" i="77"/>
  <c r="C98" i="79"/>
  <c r="N98" i="67"/>
  <c r="M98" i="67"/>
  <c r="C79" i="66"/>
  <c r="W98" i="67"/>
  <c r="W100" i="67" s="1"/>
  <c r="J100" i="67"/>
  <c r="D88" i="79"/>
  <c r="F88" i="79" s="1"/>
  <c r="N88" i="67"/>
  <c r="X88" i="67"/>
  <c r="D47" i="66"/>
  <c r="Q81" i="67"/>
  <c r="C76" i="64"/>
  <c r="E86" i="79"/>
  <c r="Y86" i="67"/>
  <c r="N86" i="67"/>
  <c r="D43" i="66"/>
  <c r="C52" i="79"/>
  <c r="F52" i="79" s="1"/>
  <c r="W52" i="67"/>
  <c r="M52" i="67"/>
  <c r="L47" i="77" s="1"/>
  <c r="AI47" i="77" s="1"/>
  <c r="N52" i="67"/>
  <c r="C55" i="66"/>
  <c r="C36" i="79"/>
  <c r="F36" i="79" s="1"/>
  <c r="W36" i="67"/>
  <c r="M36" i="67"/>
  <c r="L31" i="77" s="1"/>
  <c r="AI31" i="77" s="1"/>
  <c r="N36" i="67"/>
  <c r="C34" i="66"/>
  <c r="C20" i="79"/>
  <c r="F20" i="79" s="1"/>
  <c r="W20" i="67"/>
  <c r="M20" i="67"/>
  <c r="L15" i="77" s="1"/>
  <c r="AI15" i="77" s="1"/>
  <c r="N20" i="67"/>
  <c r="C15" i="66"/>
  <c r="C51" i="79"/>
  <c r="F51" i="79" s="1"/>
  <c r="W51" i="67"/>
  <c r="M51" i="67"/>
  <c r="L46" i="77" s="1"/>
  <c r="AI46" i="77" s="1"/>
  <c r="N51" i="67"/>
  <c r="C54" i="66"/>
  <c r="C35" i="79"/>
  <c r="F35" i="79" s="1"/>
  <c r="W35" i="67"/>
  <c r="M35" i="67"/>
  <c r="L30" i="77" s="1"/>
  <c r="AI30" i="77" s="1"/>
  <c r="N35" i="67"/>
  <c r="C33" i="66"/>
  <c r="C19" i="79"/>
  <c r="F19" i="79" s="1"/>
  <c r="W19" i="67"/>
  <c r="M19" i="67"/>
  <c r="L14" i="77" s="1"/>
  <c r="AI14" i="77" s="1"/>
  <c r="N19" i="67"/>
  <c r="C14" i="66"/>
  <c r="C11" i="79"/>
  <c r="F11" i="79" s="1"/>
  <c r="W11" i="67"/>
  <c r="M11" i="67"/>
  <c r="L6" i="77" s="1"/>
  <c r="AI6" i="77" s="1"/>
  <c r="N11" i="67"/>
  <c r="C7" i="66"/>
  <c r="L103" i="78"/>
  <c r="O77" i="79"/>
  <c r="P77" i="79" s="1"/>
  <c r="H72" i="64"/>
  <c r="H109" i="64" s="1"/>
  <c r="I64" i="79"/>
  <c r="J64" i="79" s="1"/>
  <c r="E59" i="64"/>
  <c r="I82" i="79"/>
  <c r="J82" i="79" s="1"/>
  <c r="E77" i="64"/>
  <c r="I76" i="79"/>
  <c r="J76" i="79" s="1"/>
  <c r="E71" i="64"/>
  <c r="F77" i="79"/>
  <c r="Q71" i="67"/>
  <c r="C66" i="64"/>
  <c r="F69" i="79"/>
  <c r="Q63" i="67"/>
  <c r="C58" i="64"/>
  <c r="BC65" i="66"/>
  <c r="C61" i="69" s="1"/>
  <c r="D61" i="69" s="1"/>
  <c r="AB65" i="66"/>
  <c r="F60" i="68" s="1"/>
  <c r="X60" i="68" s="1"/>
  <c r="F61" i="79"/>
  <c r="Q45" i="67"/>
  <c r="C40" i="64"/>
  <c r="C30" i="79"/>
  <c r="F30" i="79" s="1"/>
  <c r="W30" i="67"/>
  <c r="M30" i="67"/>
  <c r="L25" i="77" s="1"/>
  <c r="AI25" i="77" s="1"/>
  <c r="N30" i="67"/>
  <c r="C27" i="66"/>
  <c r="K110" i="67"/>
  <c r="H128" i="78" s="1"/>
  <c r="Z90" i="66"/>
  <c r="AF76" i="66"/>
  <c r="H70" i="68" s="1"/>
  <c r="AB70" i="68" s="1"/>
  <c r="AF74" i="66"/>
  <c r="H68" i="68" s="1"/>
  <c r="AB68" i="68" s="1"/>
  <c r="AB72" i="66"/>
  <c r="F66" i="68" s="1"/>
  <c r="X66" i="68" s="1"/>
  <c r="AB70" i="66"/>
  <c r="F64" i="68" s="1"/>
  <c r="X64" i="68" s="1"/>
  <c r="AB68" i="66"/>
  <c r="F62" i="68" s="1"/>
  <c r="X62" i="68" s="1"/>
  <c r="AG62" i="66"/>
  <c r="Y62" i="66"/>
  <c r="AC62" i="66"/>
  <c r="AB60" i="66"/>
  <c r="F56" i="68" s="1"/>
  <c r="X56" i="68" s="1"/>
  <c r="BC60" i="66"/>
  <c r="C57" i="69" s="1"/>
  <c r="D57" i="69" s="1"/>
  <c r="AF60" i="66"/>
  <c r="H56" i="68" s="1"/>
  <c r="AB56" i="68" s="1"/>
  <c r="Q41" i="67"/>
  <c r="C36" i="64"/>
  <c r="C26" i="79"/>
  <c r="F26" i="79" s="1"/>
  <c r="W26" i="67"/>
  <c r="M26" i="67"/>
  <c r="L21" i="77" s="1"/>
  <c r="AI21" i="77" s="1"/>
  <c r="N26" i="67"/>
  <c r="C21" i="66"/>
  <c r="Q9" i="67"/>
  <c r="C4" i="64"/>
  <c r="AE82" i="66"/>
  <c r="G90" i="68" s="1"/>
  <c r="AA90" i="68" s="1"/>
  <c r="AX76" i="66"/>
  <c r="C71" i="72" s="1"/>
  <c r="E71" i="72" s="1"/>
  <c r="G71" i="72" s="1"/>
  <c r="AX72" i="66"/>
  <c r="C67" i="72" s="1"/>
  <c r="E67" i="72" s="1"/>
  <c r="G67" i="72" s="1"/>
  <c r="AX68" i="66"/>
  <c r="C63" i="72" s="1"/>
  <c r="E63" i="72" s="1"/>
  <c r="G63" i="72" s="1"/>
  <c r="Z65" i="66"/>
  <c r="E60" i="68" s="1"/>
  <c r="V60" i="68" s="1"/>
  <c r="AO67" i="66"/>
  <c r="C90" i="71" s="1"/>
  <c r="E90" i="71" s="1"/>
  <c r="E95" i="71" s="1"/>
  <c r="G67" i="66"/>
  <c r="F90" i="79"/>
  <c r="Q76" i="67"/>
  <c r="C71" i="64"/>
  <c r="AF80" i="66"/>
  <c r="H73" i="68" s="1"/>
  <c r="AB73" i="68" s="1"/>
  <c r="AB80" i="66"/>
  <c r="F73" i="68" s="1"/>
  <c r="X73" i="68" s="1"/>
  <c r="F74" i="79"/>
  <c r="F72" i="79"/>
  <c r="Q62" i="67"/>
  <c r="C57" i="64"/>
  <c r="C54" i="79"/>
  <c r="F54" i="79" s="1"/>
  <c r="W54" i="67"/>
  <c r="M54" i="67"/>
  <c r="L49" i="77" s="1"/>
  <c r="N54" i="67"/>
  <c r="C57" i="66"/>
  <c r="Q21" i="67"/>
  <c r="C16" i="64"/>
  <c r="L102" i="67"/>
  <c r="X90" i="66"/>
  <c r="D76" i="68" s="1"/>
  <c r="T76" i="68" s="1"/>
  <c r="AD80" i="66"/>
  <c r="G73" i="68" s="1"/>
  <c r="Z73" i="68" s="1"/>
  <c r="Z78" i="66"/>
  <c r="E72" i="68" s="1"/>
  <c r="V72" i="68" s="1"/>
  <c r="AO75" i="66"/>
  <c r="C70" i="71" s="1"/>
  <c r="E70" i="71" s="1"/>
  <c r="G70" i="71" s="1"/>
  <c r="AH70" i="66"/>
  <c r="I64" i="68" s="1"/>
  <c r="AD64" i="68" s="1"/>
  <c r="AD68" i="66"/>
  <c r="G62" i="68" s="1"/>
  <c r="Z62" i="68" s="1"/>
  <c r="Z66" i="66"/>
  <c r="E61" i="68" s="1"/>
  <c r="V61" i="68" s="1"/>
  <c r="Q82" i="67"/>
  <c r="C77" i="64"/>
  <c r="C50" i="79"/>
  <c r="F50" i="79" s="1"/>
  <c r="W50" i="67"/>
  <c r="M50" i="67"/>
  <c r="L45" i="77" s="1"/>
  <c r="AI45" i="77" s="1"/>
  <c r="N50" i="67"/>
  <c r="C53" i="66"/>
  <c r="Q17" i="67"/>
  <c r="C12" i="64"/>
  <c r="AO90" i="66"/>
  <c r="Y82" i="66"/>
  <c r="D90" i="68" s="1"/>
  <c r="U90" i="68" s="1"/>
  <c r="AD75" i="66"/>
  <c r="G69" i="68" s="1"/>
  <c r="Z69" i="68" s="1"/>
  <c r="Z71" i="66"/>
  <c r="E65" i="68" s="1"/>
  <c r="V65" i="68" s="1"/>
  <c r="BC68" i="66"/>
  <c r="C63" i="69" s="1"/>
  <c r="D63" i="69" s="1"/>
  <c r="AO41" i="66"/>
  <c r="C41" i="71" s="1"/>
  <c r="E41" i="71" s="1"/>
  <c r="G41" i="71" s="1"/>
  <c r="G31" i="66"/>
  <c r="C32" i="68" s="1"/>
  <c r="R32" i="68" s="1"/>
  <c r="AP62" i="66"/>
  <c r="D59" i="71" s="1"/>
  <c r="F59" i="71" s="1"/>
  <c r="AD56" i="66"/>
  <c r="G52" i="68" s="1"/>
  <c r="Z52" i="68" s="1"/>
  <c r="Z48" i="66"/>
  <c r="E44" i="68" s="1"/>
  <c r="V44" i="68" s="1"/>
  <c r="Z35" i="66"/>
  <c r="E36" i="68" s="1"/>
  <c r="V36" i="68" s="1"/>
  <c r="AB75" i="66"/>
  <c r="F69" i="68" s="1"/>
  <c r="X69" i="68" s="1"/>
  <c r="G65" i="66"/>
  <c r="C60" i="68" s="1"/>
  <c r="R60" i="68" s="1"/>
  <c r="AO48" i="66"/>
  <c r="C45" i="71" s="1"/>
  <c r="E45" i="71" s="1"/>
  <c r="G45" i="71" s="1"/>
  <c r="Z25" i="66"/>
  <c r="E28" i="68" s="1"/>
  <c r="V28" i="68" s="1"/>
  <c r="X71" i="66"/>
  <c r="D65" i="68" s="1"/>
  <c r="T65" i="68" s="1"/>
  <c r="X65" i="66"/>
  <c r="D60" i="68" s="1"/>
  <c r="AD60" i="66"/>
  <c r="G56" i="68" s="1"/>
  <c r="Z56" i="68" s="1"/>
  <c r="AD52" i="66"/>
  <c r="G48" i="68" s="1"/>
  <c r="Z48" i="68" s="1"/>
  <c r="Z41" i="66"/>
  <c r="E40" i="68" s="1"/>
  <c r="V40" i="68" s="1"/>
  <c r="G25" i="66"/>
  <c r="C28" i="68" s="1"/>
  <c r="R28" i="68" s="1"/>
  <c r="J86" i="68"/>
  <c r="AF25" i="66"/>
  <c r="H28" i="68" s="1"/>
  <c r="AB28" i="68" s="1"/>
  <c r="AE105" i="65"/>
  <c r="AH79" i="79"/>
  <c r="AH102" i="79" s="1"/>
  <c r="Q104" i="79" s="1"/>
  <c r="O35" i="79"/>
  <c r="P35" i="79" s="1"/>
  <c r="H30" i="64"/>
  <c r="Q91" i="67"/>
  <c r="C86" i="64"/>
  <c r="Q83" i="67"/>
  <c r="C78" i="64"/>
  <c r="E97" i="77"/>
  <c r="E99" i="77" s="1"/>
  <c r="D92" i="79"/>
  <c r="X92" i="67"/>
  <c r="D83" i="66"/>
  <c r="Q85" i="67"/>
  <c r="C80" i="64"/>
  <c r="Q84" i="67"/>
  <c r="C79" i="64"/>
  <c r="C56" i="79"/>
  <c r="F56" i="79" s="1"/>
  <c r="W56" i="67"/>
  <c r="M56" i="67"/>
  <c r="L51" i="77" s="1"/>
  <c r="AI51" i="77" s="1"/>
  <c r="N56" i="67"/>
  <c r="C59" i="66"/>
  <c r="C40" i="79"/>
  <c r="F40" i="79" s="1"/>
  <c r="W40" i="67"/>
  <c r="M40" i="67"/>
  <c r="L35" i="77" s="1"/>
  <c r="AI35" i="77" s="1"/>
  <c r="N40" i="67"/>
  <c r="C38" i="66"/>
  <c r="C24" i="79"/>
  <c r="F24" i="79" s="1"/>
  <c r="W24" i="67"/>
  <c r="M24" i="67"/>
  <c r="L19" i="77" s="1"/>
  <c r="AI19" i="77" s="1"/>
  <c r="N24" i="67"/>
  <c r="C19" i="66"/>
  <c r="C8" i="79"/>
  <c r="F8" i="79" s="1"/>
  <c r="W8" i="67"/>
  <c r="M8" i="67"/>
  <c r="L3" i="77" s="1"/>
  <c r="AI3" i="77" s="1"/>
  <c r="N8" i="67"/>
  <c r="C4" i="66"/>
  <c r="V27" i="77"/>
  <c r="F86" i="79"/>
  <c r="C55" i="79"/>
  <c r="F55" i="79" s="1"/>
  <c r="W55" i="67"/>
  <c r="M55" i="67"/>
  <c r="L50" i="77" s="1"/>
  <c r="AI50" i="77" s="1"/>
  <c r="N55" i="67"/>
  <c r="C58" i="66"/>
  <c r="C39" i="79"/>
  <c r="F39" i="79" s="1"/>
  <c r="W39" i="67"/>
  <c r="M39" i="67"/>
  <c r="L34" i="77" s="1"/>
  <c r="AI34" i="77" s="1"/>
  <c r="N39" i="67"/>
  <c r="C37" i="66"/>
  <c r="C23" i="79"/>
  <c r="F23" i="79" s="1"/>
  <c r="W23" i="67"/>
  <c r="M23" i="67"/>
  <c r="L18" i="77" s="1"/>
  <c r="AI18" i="77" s="1"/>
  <c r="N23" i="67"/>
  <c r="C18" i="66"/>
  <c r="C15" i="79"/>
  <c r="F15" i="79" s="1"/>
  <c r="W15" i="67"/>
  <c r="M15" i="67"/>
  <c r="L10" i="77" s="1"/>
  <c r="AI10" i="77" s="1"/>
  <c r="N15" i="67"/>
  <c r="C11" i="66"/>
  <c r="D89" i="79"/>
  <c r="F89" i="79" s="1"/>
  <c r="X89" i="67"/>
  <c r="M89" i="67"/>
  <c r="L84" i="77" s="1"/>
  <c r="AI84" i="77" s="1"/>
  <c r="D63" i="66"/>
  <c r="F79" i="67"/>
  <c r="F102" i="67" s="1"/>
  <c r="I21" i="79"/>
  <c r="J21" i="79" s="1"/>
  <c r="E16" i="64"/>
  <c r="I69" i="79"/>
  <c r="J69" i="79" s="1"/>
  <c r="E64" i="64"/>
  <c r="I87" i="79"/>
  <c r="J87" i="79" s="1"/>
  <c r="E82" i="64"/>
  <c r="I17" i="79"/>
  <c r="J17" i="79" s="1"/>
  <c r="E12" i="64"/>
  <c r="I65" i="79"/>
  <c r="J65" i="79" s="1"/>
  <c r="E60" i="64"/>
  <c r="Q77" i="67"/>
  <c r="C72" i="64"/>
  <c r="AO81" i="66"/>
  <c r="C75" i="71" s="1"/>
  <c r="E75" i="71" s="1"/>
  <c r="G75" i="71" s="1"/>
  <c r="G81" i="66"/>
  <c r="C74" i="68" s="1"/>
  <c r="R74" i="68" s="1"/>
  <c r="F75" i="79"/>
  <c r="Q69" i="67"/>
  <c r="C64" i="64"/>
  <c r="AO72" i="66"/>
  <c r="C67" i="71" s="1"/>
  <c r="E67" i="71" s="1"/>
  <c r="G67" i="71" s="1"/>
  <c r="G72" i="66"/>
  <c r="C66" i="68" s="1"/>
  <c r="R66" i="68" s="1"/>
  <c r="F67" i="79"/>
  <c r="Q61" i="67"/>
  <c r="C56" i="64"/>
  <c r="C46" i="79"/>
  <c r="F46" i="79" s="1"/>
  <c r="W46" i="67"/>
  <c r="M46" i="67"/>
  <c r="L41" i="77" s="1"/>
  <c r="AI41" i="77" s="1"/>
  <c r="N46" i="67"/>
  <c r="C49" i="66"/>
  <c r="C14" i="79"/>
  <c r="F14" i="79" s="1"/>
  <c r="W14" i="67"/>
  <c r="M14" i="67"/>
  <c r="L9" i="77" s="1"/>
  <c r="AI9" i="77" s="1"/>
  <c r="N14" i="67"/>
  <c r="C10" i="66"/>
  <c r="AF78" i="66"/>
  <c r="H72" i="68" s="1"/>
  <c r="AB72" i="68" s="1"/>
  <c r="X72" i="66"/>
  <c r="D66" i="68" s="1"/>
  <c r="X70" i="66"/>
  <c r="D64" i="68" s="1"/>
  <c r="T64" i="68" s="1"/>
  <c r="Q57" i="67"/>
  <c r="C52" i="64"/>
  <c r="C42" i="79"/>
  <c r="F42" i="79" s="1"/>
  <c r="W42" i="67"/>
  <c r="M42" i="67"/>
  <c r="L37" i="77" s="1"/>
  <c r="AI37" i="77" s="1"/>
  <c r="N42" i="67"/>
  <c r="C42" i="66"/>
  <c r="AO65" i="66"/>
  <c r="C61" i="71" s="1"/>
  <c r="E61" i="71" s="1"/>
  <c r="G61" i="71" s="1"/>
  <c r="Q90" i="67"/>
  <c r="C85" i="64"/>
  <c r="E84" i="79"/>
  <c r="F84" i="79" s="1"/>
  <c r="Y84" i="67"/>
  <c r="Q74" i="67"/>
  <c r="C69" i="64"/>
  <c r="Q72" i="67"/>
  <c r="C67" i="64"/>
  <c r="F70" i="79"/>
  <c r="F68" i="79"/>
  <c r="AB35" i="66"/>
  <c r="F36" i="68" s="1"/>
  <c r="X36" i="68" s="1"/>
  <c r="BC35" i="66"/>
  <c r="C37" i="69" s="1"/>
  <c r="D37" i="69" s="1"/>
  <c r="AF35" i="66"/>
  <c r="H36" i="68" s="1"/>
  <c r="AB36" i="68" s="1"/>
  <c r="K102" i="67"/>
  <c r="L110" i="67"/>
  <c r="BC82" i="66"/>
  <c r="C91" i="69" s="1"/>
  <c r="D91" i="69" s="1"/>
  <c r="Z80" i="66"/>
  <c r="E73" i="68" s="1"/>
  <c r="V73" i="68" s="1"/>
  <c r="AH76" i="66"/>
  <c r="I70" i="68" s="1"/>
  <c r="AD70" i="68" s="1"/>
  <c r="AH74" i="66"/>
  <c r="I68" i="68" s="1"/>
  <c r="AD68" i="68" s="1"/>
  <c r="AD72" i="66"/>
  <c r="G66" i="68" s="1"/>
  <c r="Z66" i="68" s="1"/>
  <c r="AD70" i="66"/>
  <c r="G64" i="68" s="1"/>
  <c r="Z64" i="68" s="1"/>
  <c r="Z68" i="66"/>
  <c r="E62" i="68" s="1"/>
  <c r="V62" i="68" s="1"/>
  <c r="AX31" i="66"/>
  <c r="C33" i="72" s="1"/>
  <c r="E33" i="72" s="1"/>
  <c r="G33" i="72" s="1"/>
  <c r="AB31" i="66"/>
  <c r="F32" i="68" s="1"/>
  <c r="X32" i="68" s="1"/>
  <c r="BC31" i="66"/>
  <c r="C33" i="69" s="1"/>
  <c r="D33" i="69" s="1"/>
  <c r="AF81" i="66"/>
  <c r="H74" i="68" s="1"/>
  <c r="AB74" i="68" s="1"/>
  <c r="Z75" i="66"/>
  <c r="E69" i="68" s="1"/>
  <c r="V69" i="68" s="1"/>
  <c r="BC72" i="66"/>
  <c r="C67" i="69" s="1"/>
  <c r="D67" i="69" s="1"/>
  <c r="G71" i="66"/>
  <c r="C65" i="68" s="1"/>
  <c r="R65" i="68" s="1"/>
  <c r="G70" i="66"/>
  <c r="C64" i="68" s="1"/>
  <c r="R64" i="68" s="1"/>
  <c r="AF67" i="66"/>
  <c r="AO52" i="66"/>
  <c r="C49" i="71" s="1"/>
  <c r="E49" i="71" s="1"/>
  <c r="G49" i="71" s="1"/>
  <c r="G41" i="66"/>
  <c r="C40" i="68" s="1"/>
  <c r="R40" i="68" s="1"/>
  <c r="G66" i="66"/>
  <c r="C61" i="68" s="1"/>
  <c r="R61" i="68" s="1"/>
  <c r="AI62" i="66"/>
  <c r="D7" i="71"/>
  <c r="X75" i="66"/>
  <c r="D69" i="68" s="1"/>
  <c r="T69" i="68" s="1"/>
  <c r="H62" i="66"/>
  <c r="G48" i="66"/>
  <c r="C44" i="68" s="1"/>
  <c r="R44" i="68" s="1"/>
  <c r="K85" i="79"/>
  <c r="L85" i="79" s="1"/>
  <c r="F80" i="64"/>
  <c r="AB66" i="66"/>
  <c r="F61" i="68" s="1"/>
  <c r="X61" i="68" s="1"/>
  <c r="Z60" i="66"/>
  <c r="E56" i="68" s="1"/>
  <c r="V56" i="68" s="1"/>
  <c r="Z52" i="66"/>
  <c r="E48" i="68" s="1"/>
  <c r="V48" i="68" s="1"/>
  <c r="AD31" i="66"/>
  <c r="G32" i="68" s="1"/>
  <c r="Z32" i="68" s="1"/>
  <c r="AF41" i="66"/>
  <c r="H40" i="68" s="1"/>
  <c r="AB40" i="68" s="1"/>
  <c r="X35" i="66"/>
  <c r="D36" i="68" s="1"/>
  <c r="T36" i="68" s="1"/>
  <c r="AU87" i="66"/>
  <c r="AE117" i="65"/>
  <c r="AE115" i="65"/>
  <c r="X48" i="66"/>
  <c r="D44" i="68" s="1"/>
  <c r="T44" i="68" s="1"/>
  <c r="J12" i="68"/>
  <c r="K12" i="68"/>
  <c r="AB25" i="66"/>
  <c r="F28" i="68" s="1"/>
  <c r="X28" i="68" s="1"/>
  <c r="AH121" i="65"/>
  <c r="F91" i="77"/>
  <c r="F95" i="72"/>
  <c r="G81" i="72"/>
  <c r="H74" i="77"/>
  <c r="I2" i="77"/>
  <c r="N93" i="77"/>
  <c r="N95" i="77" s="1"/>
  <c r="K117" i="64"/>
  <c r="K93" i="64"/>
  <c r="K95" i="64" s="1"/>
  <c r="E94" i="79"/>
  <c r="F94" i="79" s="1"/>
  <c r="Y94" i="67"/>
  <c r="L111" i="67"/>
  <c r="N94" i="67"/>
  <c r="C60" i="79"/>
  <c r="F60" i="79" s="1"/>
  <c r="W60" i="67"/>
  <c r="M60" i="67"/>
  <c r="L55" i="77" s="1"/>
  <c r="AI55" i="77" s="1"/>
  <c r="N60" i="67"/>
  <c r="C64" i="66"/>
  <c r="C44" i="79"/>
  <c r="F44" i="79" s="1"/>
  <c r="W44" i="67"/>
  <c r="M44" i="67"/>
  <c r="L39" i="77" s="1"/>
  <c r="AI39" i="77" s="1"/>
  <c r="N44" i="67"/>
  <c r="C45" i="66"/>
  <c r="C28" i="79"/>
  <c r="F28" i="79" s="1"/>
  <c r="W28" i="67"/>
  <c r="M28" i="67"/>
  <c r="L23" i="77" s="1"/>
  <c r="AI23" i="77" s="1"/>
  <c r="N28" i="67"/>
  <c r="C24" i="66"/>
  <c r="D83" i="79"/>
  <c r="F83" i="79" s="1"/>
  <c r="X83" i="67"/>
  <c r="M83" i="67"/>
  <c r="L78" i="77" s="1"/>
  <c r="AI78" i="77" s="1"/>
  <c r="D28" i="66"/>
  <c r="C59" i="79"/>
  <c r="F59" i="79" s="1"/>
  <c r="W59" i="67"/>
  <c r="M59" i="67"/>
  <c r="L54" i="77" s="1"/>
  <c r="AI54" i="77" s="1"/>
  <c r="N59" i="67"/>
  <c r="C62" i="66"/>
  <c r="C43" i="79"/>
  <c r="F43" i="79" s="1"/>
  <c r="W43" i="67"/>
  <c r="M43" i="67"/>
  <c r="L38" i="77" s="1"/>
  <c r="AI38" i="77" s="1"/>
  <c r="N43" i="67"/>
  <c r="C44" i="66"/>
  <c r="C27" i="79"/>
  <c r="F27" i="79" s="1"/>
  <c r="W27" i="67"/>
  <c r="M27" i="67"/>
  <c r="L22" i="77" s="1"/>
  <c r="AI22" i="77" s="1"/>
  <c r="N27" i="67"/>
  <c r="C23" i="66"/>
  <c r="F111" i="67"/>
  <c r="F92" i="79"/>
  <c r="M84" i="67"/>
  <c r="L79" i="77" s="1"/>
  <c r="AI79" i="77" s="1"/>
  <c r="F110" i="67"/>
  <c r="I72" i="79"/>
  <c r="J72" i="79" s="1"/>
  <c r="E67" i="64"/>
  <c r="I90" i="79"/>
  <c r="J90" i="79" s="1"/>
  <c r="E85" i="64"/>
  <c r="I68" i="79"/>
  <c r="J68" i="79" s="1"/>
  <c r="E63" i="64"/>
  <c r="Q75" i="67"/>
  <c r="C70" i="64"/>
  <c r="F73" i="79"/>
  <c r="Q67" i="67"/>
  <c r="C62" i="64"/>
  <c r="F65" i="79"/>
  <c r="K103" i="78"/>
  <c r="AH90" i="66"/>
  <c r="I76" i="68" s="1"/>
  <c r="AD76" i="68" s="1"/>
  <c r="AB78" i="66"/>
  <c r="F72" i="68" s="1"/>
  <c r="X72" i="68" s="1"/>
  <c r="M71" i="68"/>
  <c r="O71" i="68" s="1"/>
  <c r="X76" i="66"/>
  <c r="D70" i="68" s="1"/>
  <c r="X74" i="66"/>
  <c r="D68" i="68" s="1"/>
  <c r="T68" i="68" s="1"/>
  <c r="C58" i="79"/>
  <c r="F58" i="79" s="1"/>
  <c r="W58" i="67"/>
  <c r="M58" i="67"/>
  <c r="L53" i="77" s="1"/>
  <c r="AI53" i="77" s="1"/>
  <c r="N58" i="67"/>
  <c r="C61" i="66"/>
  <c r="Q25" i="67"/>
  <c r="C20" i="64"/>
  <c r="C10" i="79"/>
  <c r="F10" i="79" s="1"/>
  <c r="W10" i="67"/>
  <c r="M10" i="67"/>
  <c r="L5" i="77" s="1"/>
  <c r="AI5" i="77" s="1"/>
  <c r="N10" i="67"/>
  <c r="C6" i="66"/>
  <c r="N92" i="68"/>
  <c r="BG82" i="66"/>
  <c r="C91" i="70" s="1"/>
  <c r="D91" i="70" s="1"/>
  <c r="AH81" i="66"/>
  <c r="I74" i="68" s="1"/>
  <c r="AD74" i="68" s="1"/>
  <c r="AH65" i="66"/>
  <c r="I60" i="68" s="1"/>
  <c r="AD60" i="68" s="1"/>
  <c r="Q70" i="67"/>
  <c r="C65" i="64"/>
  <c r="Q68" i="67"/>
  <c r="C63" i="64"/>
  <c r="F66" i="79"/>
  <c r="F64" i="79"/>
  <c r="AB56" i="66"/>
  <c r="F52" i="68" s="1"/>
  <c r="X52" i="68" s="1"/>
  <c r="BC56" i="66"/>
  <c r="C53" i="69" s="1"/>
  <c r="D53" i="69" s="1"/>
  <c r="AF56" i="66"/>
  <c r="H52" i="68" s="1"/>
  <c r="AB52" i="68" s="1"/>
  <c r="Q37" i="67"/>
  <c r="C32" i="64"/>
  <c r="C22" i="79"/>
  <c r="F22" i="79" s="1"/>
  <c r="W22" i="67"/>
  <c r="M22" i="67"/>
  <c r="L17" i="77" s="1"/>
  <c r="N22" i="67"/>
  <c r="C17" i="66"/>
  <c r="E79" i="79"/>
  <c r="AF90" i="66"/>
  <c r="BC81" i="66"/>
  <c r="C75" i="69" s="1"/>
  <c r="D75" i="69" s="1"/>
  <c r="G80" i="66"/>
  <c r="C73" i="68" s="1"/>
  <c r="R73" i="68" s="1"/>
  <c r="AH78" i="66"/>
  <c r="I72" i="68" s="1"/>
  <c r="AD72" i="68" s="1"/>
  <c r="AD76" i="66"/>
  <c r="G70" i="68" s="1"/>
  <c r="Z70" i="68" s="1"/>
  <c r="AD74" i="66"/>
  <c r="G68" i="68" s="1"/>
  <c r="Z68" i="68" s="1"/>
  <c r="Z72" i="66"/>
  <c r="E66" i="68" s="1"/>
  <c r="V66" i="68" s="1"/>
  <c r="Z70" i="66"/>
  <c r="E64" i="68" s="1"/>
  <c r="V64" i="68" s="1"/>
  <c r="AH66" i="66"/>
  <c r="I61" i="68" s="1"/>
  <c r="AD61" i="68" s="1"/>
  <c r="D91" i="66"/>
  <c r="AX52" i="66"/>
  <c r="C49" i="72" s="1"/>
  <c r="E49" i="72" s="1"/>
  <c r="G49" i="72" s="1"/>
  <c r="AB52" i="66"/>
  <c r="F48" i="68" s="1"/>
  <c r="X48" i="68" s="1"/>
  <c r="BC52" i="66"/>
  <c r="C49" i="69" s="1"/>
  <c r="D49" i="69" s="1"/>
  <c r="Q33" i="67"/>
  <c r="C28" i="64"/>
  <c r="C18" i="79"/>
  <c r="F18" i="79" s="1"/>
  <c r="W18" i="67"/>
  <c r="M18" i="67"/>
  <c r="L13" i="77" s="1"/>
  <c r="AI13" i="77" s="1"/>
  <c r="C85" i="66"/>
  <c r="N18" i="67"/>
  <c r="AG82" i="66"/>
  <c r="H90" i="68" s="1"/>
  <c r="AC90" i="68" s="1"/>
  <c r="AB81" i="66"/>
  <c r="F74" i="68" s="1"/>
  <c r="X74" i="68" s="1"/>
  <c r="BC76" i="66"/>
  <c r="C71" i="69" s="1"/>
  <c r="D71" i="69" s="1"/>
  <c r="G74" i="66"/>
  <c r="C68" i="68" s="1"/>
  <c r="R68" i="68" s="1"/>
  <c r="AH71" i="66"/>
  <c r="I65" i="68" s="1"/>
  <c r="AD65" i="68" s="1"/>
  <c r="AB67" i="66"/>
  <c r="G52" i="66"/>
  <c r="C48" i="68" s="1"/>
  <c r="R48" i="68" s="1"/>
  <c r="AE62" i="66"/>
  <c r="AO60" i="66"/>
  <c r="C57" i="71" s="1"/>
  <c r="E57" i="71" s="1"/>
  <c r="G57" i="71" s="1"/>
  <c r="AH48" i="66"/>
  <c r="I44" i="68" s="1"/>
  <c r="AD44" i="68" s="1"/>
  <c r="AH35" i="66"/>
  <c r="I36" i="68" s="1"/>
  <c r="X80" i="66"/>
  <c r="D73" i="68" s="1"/>
  <c r="AO56" i="66"/>
  <c r="C53" i="71" s="1"/>
  <c r="E53" i="71" s="1"/>
  <c r="G53" i="71" s="1"/>
  <c r="AH25" i="66"/>
  <c r="I28" i="68" s="1"/>
  <c r="AD28" i="68" s="1"/>
  <c r="X66" i="66"/>
  <c r="D61" i="68" s="1"/>
  <c r="AH41" i="66"/>
  <c r="I40" i="68" s="1"/>
  <c r="AD40" i="68" s="1"/>
  <c r="Z31" i="66"/>
  <c r="E32" i="68" s="1"/>
  <c r="V32" i="68" s="1"/>
  <c r="X52" i="66"/>
  <c r="D48" i="68" s="1"/>
  <c r="T48" i="68" s="1"/>
  <c r="X41" i="66"/>
  <c r="D40" i="68" s="1"/>
  <c r="AF31" i="66"/>
  <c r="H32" i="68" s="1"/>
  <c r="AB32" i="68" s="1"/>
  <c r="X56" i="66"/>
  <c r="D52" i="68" s="1"/>
  <c r="AM112" i="65"/>
  <c r="AM115" i="65" s="1"/>
  <c r="AM121" i="65" s="1"/>
  <c r="AN4" i="65"/>
  <c r="AN112" i="65" s="1"/>
  <c r="X25" i="66"/>
  <c r="D28" i="68" s="1"/>
  <c r="AI117" i="65"/>
  <c r="AI115" i="65"/>
  <c r="AM117" i="65"/>
  <c r="L137" i="64"/>
  <c r="L99" i="64"/>
  <c r="L98" i="64"/>
  <c r="I137" i="64"/>
  <c r="I99" i="64"/>
  <c r="I98" i="64"/>
  <c r="AC74" i="32"/>
  <c r="AC104" i="32"/>
  <c r="AC89" i="32"/>
  <c r="N97" i="77" l="1"/>
  <c r="N99" i="77" s="1"/>
  <c r="K97" i="64"/>
  <c r="K98" i="64" s="1"/>
  <c r="O97" i="77"/>
  <c r="O99" i="77" s="1"/>
  <c r="I66" i="79"/>
  <c r="J66" i="79" s="1"/>
  <c r="G57" i="64"/>
  <c r="O74" i="79"/>
  <c r="P74" i="79" s="1"/>
  <c r="V10" i="77"/>
  <c r="E96" i="79"/>
  <c r="E102" i="79" s="1"/>
  <c r="O43" i="79"/>
  <c r="P43" i="79" s="1"/>
  <c r="V34" i="77"/>
  <c r="V29" i="77"/>
  <c r="V19" i="77"/>
  <c r="V26" i="77"/>
  <c r="V7" i="77"/>
  <c r="V45" i="77"/>
  <c r="V6" i="77"/>
  <c r="V30" i="77"/>
  <c r="V47" i="77"/>
  <c r="J98" i="68"/>
  <c r="H65" i="64"/>
  <c r="H10" i="64"/>
  <c r="O84" i="68"/>
  <c r="G85" i="79" s="1"/>
  <c r="H85" i="79" s="1"/>
  <c r="Q85" i="79" s="1"/>
  <c r="M87" i="79"/>
  <c r="N87" i="79" s="1"/>
  <c r="H89" i="64"/>
  <c r="H108" i="64" s="1"/>
  <c r="O24" i="68"/>
  <c r="G25" i="79" s="1"/>
  <c r="H25" i="79" s="1"/>
  <c r="E95" i="72"/>
  <c r="AC91" i="32"/>
  <c r="AC117" i="32" s="1"/>
  <c r="G80" i="64"/>
  <c r="G77" i="64"/>
  <c r="L98" i="68"/>
  <c r="H37" i="64"/>
  <c r="O25" i="79"/>
  <c r="P25" i="79" s="1"/>
  <c r="O89" i="68"/>
  <c r="D85" i="64" s="1"/>
  <c r="I62" i="79"/>
  <c r="J62" i="79" s="1"/>
  <c r="O20" i="68"/>
  <c r="D16" i="64" s="1"/>
  <c r="G4" i="64"/>
  <c r="H70" i="64"/>
  <c r="H17" i="64"/>
  <c r="H86" i="64"/>
  <c r="O26" i="79"/>
  <c r="P26" i="79" s="1"/>
  <c r="O38" i="79"/>
  <c r="P38" i="79" s="1"/>
  <c r="O46" i="79"/>
  <c r="P46" i="79" s="1"/>
  <c r="C77" i="69"/>
  <c r="D77" i="69" s="1"/>
  <c r="E72" i="64" s="1"/>
  <c r="E109" i="64" s="1"/>
  <c r="H81" i="64"/>
  <c r="H54" i="64"/>
  <c r="O12" i="68"/>
  <c r="D8" i="64" s="1"/>
  <c r="G20" i="64"/>
  <c r="O8" i="79"/>
  <c r="P8" i="79" s="1"/>
  <c r="G16" i="64"/>
  <c r="O89" i="79"/>
  <c r="P89" i="79" s="1"/>
  <c r="H85" i="64"/>
  <c r="G69" i="64"/>
  <c r="O81" i="68"/>
  <c r="G82" i="79" s="1"/>
  <c r="H82" i="79" s="1"/>
  <c r="Q82" i="79" s="1"/>
  <c r="O16" i="68"/>
  <c r="G17" i="79" s="1"/>
  <c r="H17" i="79" s="1"/>
  <c r="Q17" i="79" s="1"/>
  <c r="O84" i="79"/>
  <c r="P84" i="79" s="1"/>
  <c r="O34" i="79"/>
  <c r="P34" i="79" s="1"/>
  <c r="H24" i="64"/>
  <c r="O20" i="79"/>
  <c r="P20" i="79" s="1"/>
  <c r="H80" i="64"/>
  <c r="O62" i="79"/>
  <c r="P62" i="79" s="1"/>
  <c r="O66" i="79"/>
  <c r="P66" i="79" s="1"/>
  <c r="O86" i="68"/>
  <c r="D82" i="64" s="1"/>
  <c r="M82" i="64" s="1"/>
  <c r="O54" i="79"/>
  <c r="P54" i="79" s="1"/>
  <c r="D4" i="64"/>
  <c r="G9" i="79"/>
  <c r="H9" i="79" s="1"/>
  <c r="Q9" i="79" s="1"/>
  <c r="E69" i="64"/>
  <c r="G97" i="72"/>
  <c r="G99" i="72" s="1"/>
  <c r="H45" i="64"/>
  <c r="D77" i="64"/>
  <c r="E65" i="64"/>
  <c r="D71" i="64"/>
  <c r="M71" i="64" s="1"/>
  <c r="O51" i="79"/>
  <c r="P51" i="79" s="1"/>
  <c r="G12" i="64"/>
  <c r="H12" i="64"/>
  <c r="D103" i="72"/>
  <c r="M62" i="68"/>
  <c r="J36" i="68"/>
  <c r="AD36" i="68"/>
  <c r="M60" i="68"/>
  <c r="T60" i="68"/>
  <c r="M28" i="68"/>
  <c r="T28" i="68"/>
  <c r="M52" i="68"/>
  <c r="T52" i="68"/>
  <c r="M40" i="68"/>
  <c r="T40" i="68"/>
  <c r="M61" i="68"/>
  <c r="T61" i="68"/>
  <c r="M73" i="68"/>
  <c r="T73" i="68"/>
  <c r="M70" i="68"/>
  <c r="T70" i="68"/>
  <c r="M66" i="68"/>
  <c r="T66" i="68"/>
  <c r="J69" i="68"/>
  <c r="K118" i="64"/>
  <c r="K121" i="64"/>
  <c r="M33" i="79"/>
  <c r="N33" i="79" s="1"/>
  <c r="G28" i="64"/>
  <c r="M63" i="79"/>
  <c r="N63" i="79" s="1"/>
  <c r="G58" i="64"/>
  <c r="M49" i="79"/>
  <c r="N49" i="79" s="1"/>
  <c r="G44" i="64"/>
  <c r="M67" i="79"/>
  <c r="N67" i="79" s="1"/>
  <c r="G62" i="64"/>
  <c r="O67" i="79"/>
  <c r="P67" i="79" s="1"/>
  <c r="H62" i="64"/>
  <c r="M29" i="79"/>
  <c r="N29" i="79" s="1"/>
  <c r="G24" i="64"/>
  <c r="M61" i="79"/>
  <c r="N61" i="79" s="1"/>
  <c r="G56" i="64"/>
  <c r="M45" i="79"/>
  <c r="N45" i="79" s="1"/>
  <c r="G40" i="64"/>
  <c r="M69" i="79"/>
  <c r="N69" i="79" s="1"/>
  <c r="G64" i="64"/>
  <c r="M57" i="79"/>
  <c r="N57" i="79" s="1"/>
  <c r="G52" i="64"/>
  <c r="G72" i="79"/>
  <c r="H72" i="79" s="1"/>
  <c r="Q72" i="79" s="1"/>
  <c r="D67" i="64"/>
  <c r="M67" i="64" s="1"/>
  <c r="M75" i="79"/>
  <c r="N75" i="79" s="1"/>
  <c r="G70" i="64"/>
  <c r="O71" i="79"/>
  <c r="P71" i="79" s="1"/>
  <c r="H66" i="64"/>
  <c r="M37" i="79"/>
  <c r="N37" i="79" s="1"/>
  <c r="G32" i="64"/>
  <c r="M65" i="79"/>
  <c r="N65" i="79" s="1"/>
  <c r="G60" i="64"/>
  <c r="J48" i="68"/>
  <c r="K48" i="68"/>
  <c r="BC85" i="66"/>
  <c r="C18" i="69" s="1"/>
  <c r="D18" i="69" s="1"/>
  <c r="AF85" i="66"/>
  <c r="H17" i="68" s="1"/>
  <c r="AB17" i="68" s="1"/>
  <c r="G85" i="66"/>
  <c r="C17" i="68" s="1"/>
  <c r="R17" i="68" s="1"/>
  <c r="AH85" i="66"/>
  <c r="I17" i="68" s="1"/>
  <c r="AD17" i="68" s="1"/>
  <c r="AO85" i="66"/>
  <c r="C18" i="71" s="1"/>
  <c r="E18" i="71" s="1"/>
  <c r="G18" i="71" s="1"/>
  <c r="X85" i="66"/>
  <c r="D17" i="68" s="1"/>
  <c r="T17" i="68" s="1"/>
  <c r="Z85" i="66"/>
  <c r="E17" i="68" s="1"/>
  <c r="V17" i="68" s="1"/>
  <c r="AX85" i="66"/>
  <c r="C18" i="72" s="1"/>
  <c r="E18" i="72" s="1"/>
  <c r="G18" i="72" s="1"/>
  <c r="AB85" i="66"/>
  <c r="F17" i="68" s="1"/>
  <c r="X17" i="68" s="1"/>
  <c r="AD85" i="66"/>
  <c r="G17" i="68" s="1"/>
  <c r="Z17" i="68" s="1"/>
  <c r="AF61" i="66"/>
  <c r="H57" i="68" s="1"/>
  <c r="AB57" i="68" s="1"/>
  <c r="G61" i="66"/>
  <c r="C57" i="68" s="1"/>
  <c r="R57" i="68" s="1"/>
  <c r="AH61" i="66"/>
  <c r="I57" i="68" s="1"/>
  <c r="AD57" i="68" s="1"/>
  <c r="AX61" i="66"/>
  <c r="C58" i="72" s="1"/>
  <c r="E58" i="72" s="1"/>
  <c r="G58" i="72" s="1"/>
  <c r="AB61" i="66"/>
  <c r="F57" i="68" s="1"/>
  <c r="X57" i="68" s="1"/>
  <c r="AO61" i="66"/>
  <c r="C58" i="71" s="1"/>
  <c r="E58" i="71" s="1"/>
  <c r="G58" i="71" s="1"/>
  <c r="X61" i="66"/>
  <c r="D57" i="68" s="1"/>
  <c r="T57" i="68" s="1"/>
  <c r="BC61" i="66"/>
  <c r="C58" i="69" s="1"/>
  <c r="D58" i="69" s="1"/>
  <c r="Z61" i="66"/>
  <c r="E57" i="68" s="1"/>
  <c r="V57" i="68" s="1"/>
  <c r="AD61" i="66"/>
  <c r="G57" i="68" s="1"/>
  <c r="Z57" i="68" s="1"/>
  <c r="Q43" i="67"/>
  <c r="C38" i="64"/>
  <c r="AO62" i="66"/>
  <c r="C59" i="71" s="1"/>
  <c r="E59" i="71" s="1"/>
  <c r="G59" i="71" s="1"/>
  <c r="G62" i="66"/>
  <c r="C58" i="68" s="1"/>
  <c r="R58" i="68" s="1"/>
  <c r="BC62" i="66"/>
  <c r="C59" i="69" s="1"/>
  <c r="D59" i="69" s="1"/>
  <c r="AF62" i="66"/>
  <c r="H58" i="68" s="1"/>
  <c r="AB58" i="68" s="1"/>
  <c r="Z62" i="66"/>
  <c r="E58" i="68" s="1"/>
  <c r="V58" i="68" s="1"/>
  <c r="X62" i="66"/>
  <c r="D58" i="68" s="1"/>
  <c r="AD62" i="66"/>
  <c r="G58" i="68" s="1"/>
  <c r="Z58" i="68" s="1"/>
  <c r="AH62" i="66"/>
  <c r="I58" i="68" s="1"/>
  <c r="AD58" i="68" s="1"/>
  <c r="AB62" i="66"/>
  <c r="F58" i="68" s="1"/>
  <c r="X58" i="68" s="1"/>
  <c r="K65" i="68"/>
  <c r="J65" i="68"/>
  <c r="K74" i="68"/>
  <c r="J74" i="68"/>
  <c r="Z37" i="66"/>
  <c r="E38" i="68" s="1"/>
  <c r="V38" i="68" s="1"/>
  <c r="AD37" i="66"/>
  <c r="G38" i="68" s="1"/>
  <c r="Z38" i="68" s="1"/>
  <c r="BC37" i="66"/>
  <c r="C39" i="69" s="1"/>
  <c r="D39" i="69" s="1"/>
  <c r="AO37" i="66"/>
  <c r="C39" i="71" s="1"/>
  <c r="E39" i="71" s="1"/>
  <c r="G39" i="71" s="1"/>
  <c r="AH37" i="66"/>
  <c r="I38" i="68" s="1"/>
  <c r="AD38" i="68" s="1"/>
  <c r="G37" i="66"/>
  <c r="C38" i="68" s="1"/>
  <c r="R38" i="68" s="1"/>
  <c r="AX37" i="66"/>
  <c r="C39" i="72" s="1"/>
  <c r="E39" i="72" s="1"/>
  <c r="G39" i="72" s="1"/>
  <c r="AF37" i="66"/>
  <c r="H38" i="68" s="1"/>
  <c r="AB38" i="68" s="1"/>
  <c r="X37" i="66"/>
  <c r="D38" i="68" s="1"/>
  <c r="AB37" i="66"/>
  <c r="F38" i="68" s="1"/>
  <c r="X38" i="68" s="1"/>
  <c r="AI49" i="77"/>
  <c r="V49" i="77"/>
  <c r="Q11" i="67"/>
  <c r="C6" i="64"/>
  <c r="BC14" i="66"/>
  <c r="C19" i="69" s="1"/>
  <c r="D19" i="69" s="1"/>
  <c r="AF14" i="66"/>
  <c r="H18" i="68" s="1"/>
  <c r="AB18" i="68" s="1"/>
  <c r="AD14" i="66"/>
  <c r="G18" i="68" s="1"/>
  <c r="Z18" i="68" s="1"/>
  <c r="AO14" i="66"/>
  <c r="C19" i="71" s="1"/>
  <c r="E19" i="71" s="1"/>
  <c r="G19" i="71" s="1"/>
  <c r="AH14" i="66"/>
  <c r="I18" i="68" s="1"/>
  <c r="AD18" i="68" s="1"/>
  <c r="X14" i="66"/>
  <c r="D18" i="68" s="1"/>
  <c r="T18" i="68" s="1"/>
  <c r="G14" i="66"/>
  <c r="C18" i="68" s="1"/>
  <c r="R18" i="68" s="1"/>
  <c r="AB14" i="66"/>
  <c r="F18" i="68" s="1"/>
  <c r="X18" i="68" s="1"/>
  <c r="Z14" i="66"/>
  <c r="E18" i="68" s="1"/>
  <c r="V18" i="68" s="1"/>
  <c r="Q52" i="67"/>
  <c r="C47" i="64"/>
  <c r="K99" i="64"/>
  <c r="K137" i="64"/>
  <c r="M72" i="68"/>
  <c r="BC22" i="66"/>
  <c r="C81" i="69" s="1"/>
  <c r="BG22" i="66"/>
  <c r="AA22" i="66"/>
  <c r="AP22" i="66"/>
  <c r="D87" i="66"/>
  <c r="D93" i="66" s="1"/>
  <c r="AE22" i="66"/>
  <c r="Y22" i="66"/>
  <c r="AI22" i="66"/>
  <c r="AC22" i="66"/>
  <c r="H22" i="66"/>
  <c r="AG22" i="66"/>
  <c r="Q92" i="67"/>
  <c r="C87" i="64"/>
  <c r="I91" i="77"/>
  <c r="J76" i="77"/>
  <c r="V42" i="77"/>
  <c r="O49" i="79"/>
  <c r="P49" i="79" s="1"/>
  <c r="H44" i="64"/>
  <c r="Q94" i="67"/>
  <c r="C89" i="64"/>
  <c r="K102" i="78"/>
  <c r="K104" i="78" s="1"/>
  <c r="K104" i="67"/>
  <c r="K112" i="67"/>
  <c r="Q23" i="67"/>
  <c r="C18" i="64"/>
  <c r="F130" i="78"/>
  <c r="F129" i="78"/>
  <c r="F127" i="78"/>
  <c r="F131" i="78"/>
  <c r="F128" i="78"/>
  <c r="F124" i="78"/>
  <c r="F126" i="78"/>
  <c r="F125" i="78"/>
  <c r="J72" i="68"/>
  <c r="K72" i="68"/>
  <c r="D96" i="79"/>
  <c r="D102" i="79" s="1"/>
  <c r="F81" i="79"/>
  <c r="F96" i="79" s="1"/>
  <c r="W79" i="67"/>
  <c r="W102" i="67" s="1"/>
  <c r="Q16" i="67"/>
  <c r="C11" i="64"/>
  <c r="M53" i="79"/>
  <c r="N53" i="79" s="1"/>
  <c r="G48" i="64"/>
  <c r="O33" i="79"/>
  <c r="P33" i="79" s="1"/>
  <c r="H28" i="64"/>
  <c r="AI121" i="65"/>
  <c r="M48" i="68"/>
  <c r="K73" i="68"/>
  <c r="J73" i="68"/>
  <c r="AB17" i="66"/>
  <c r="F21" i="68" s="1"/>
  <c r="X21" i="68" s="1"/>
  <c r="BC17" i="66"/>
  <c r="C22" i="69" s="1"/>
  <c r="D22" i="69" s="1"/>
  <c r="AD17" i="66"/>
  <c r="G21" i="68" s="1"/>
  <c r="Z21" i="68" s="1"/>
  <c r="AF17" i="66"/>
  <c r="H21" i="68" s="1"/>
  <c r="AB21" i="68" s="1"/>
  <c r="AH17" i="66"/>
  <c r="I21" i="68" s="1"/>
  <c r="AD21" i="68" s="1"/>
  <c r="AO17" i="66"/>
  <c r="C22" i="71" s="1"/>
  <c r="E22" i="71" s="1"/>
  <c r="G22" i="71" s="1"/>
  <c r="G17" i="66"/>
  <c r="C21" i="68" s="1"/>
  <c r="R21" i="68" s="1"/>
  <c r="X17" i="66"/>
  <c r="D21" i="68" s="1"/>
  <c r="Z17" i="66"/>
  <c r="E21" i="68" s="1"/>
  <c r="V21" i="68" s="1"/>
  <c r="I53" i="79"/>
  <c r="J53" i="79" s="1"/>
  <c r="E48" i="64"/>
  <c r="BC6" i="66"/>
  <c r="C10" i="69" s="1"/>
  <c r="D10" i="69" s="1"/>
  <c r="AD6" i="66"/>
  <c r="G9" i="68" s="1"/>
  <c r="Z9" i="68" s="1"/>
  <c r="X6" i="66"/>
  <c r="D9" i="68" s="1"/>
  <c r="T9" i="68" s="1"/>
  <c r="AH6" i="66"/>
  <c r="I9" i="68" s="1"/>
  <c r="AD9" i="68" s="1"/>
  <c r="AB6" i="66"/>
  <c r="F9" i="68" s="1"/>
  <c r="X9" i="68" s="1"/>
  <c r="G6" i="66"/>
  <c r="C9" i="68" s="1"/>
  <c r="R9" i="68" s="1"/>
  <c r="AO6" i="66"/>
  <c r="C10" i="71" s="1"/>
  <c r="E10" i="71" s="1"/>
  <c r="G10" i="71" s="1"/>
  <c r="AF6" i="66"/>
  <c r="H9" i="68" s="1"/>
  <c r="AB9" i="68" s="1"/>
  <c r="AX6" i="66"/>
  <c r="C10" i="72" s="1"/>
  <c r="E10" i="72" s="1"/>
  <c r="G10" i="72" s="1"/>
  <c r="Z6" i="66"/>
  <c r="E9" i="68" s="1"/>
  <c r="V9" i="68" s="1"/>
  <c r="Q58" i="67"/>
  <c r="C53" i="64"/>
  <c r="M68" i="68"/>
  <c r="Q59" i="67"/>
  <c r="C54" i="64"/>
  <c r="BG28" i="66"/>
  <c r="C83" i="70" s="1"/>
  <c r="D83" i="70" s="1"/>
  <c r="AE28" i="66"/>
  <c r="G82" i="68" s="1"/>
  <c r="AA82" i="68" s="1"/>
  <c r="BC28" i="66"/>
  <c r="C83" i="69" s="1"/>
  <c r="D83" i="69" s="1"/>
  <c r="AI28" i="66"/>
  <c r="I82" i="68" s="1"/>
  <c r="AE82" i="68" s="1"/>
  <c r="AC28" i="66"/>
  <c r="F82" i="68" s="1"/>
  <c r="Y82" i="68" s="1"/>
  <c r="AP28" i="66"/>
  <c r="D83" i="71" s="1"/>
  <c r="F83" i="71" s="1"/>
  <c r="G83" i="71" s="1"/>
  <c r="AG28" i="66"/>
  <c r="H82" i="68" s="1"/>
  <c r="AC82" i="68" s="1"/>
  <c r="H28" i="66"/>
  <c r="C82" i="68" s="1"/>
  <c r="S82" i="68" s="1"/>
  <c r="AA28" i="66"/>
  <c r="E82" i="68" s="1"/>
  <c r="W82" i="68" s="1"/>
  <c r="Y28" i="66"/>
  <c r="D82" i="68" s="1"/>
  <c r="U82" i="68" s="1"/>
  <c r="Z24" i="66"/>
  <c r="E27" i="68" s="1"/>
  <c r="V27" i="68" s="1"/>
  <c r="BC24" i="66"/>
  <c r="C28" i="69" s="1"/>
  <c r="D28" i="69" s="1"/>
  <c r="AH24" i="66"/>
  <c r="I27" i="68" s="1"/>
  <c r="AD27" i="68" s="1"/>
  <c r="AB24" i="66"/>
  <c r="F27" i="68" s="1"/>
  <c r="X27" i="68" s="1"/>
  <c r="G24" i="66"/>
  <c r="C27" i="68" s="1"/>
  <c r="R27" i="68" s="1"/>
  <c r="AO24" i="66"/>
  <c r="C28" i="71" s="1"/>
  <c r="E28" i="71" s="1"/>
  <c r="G28" i="71" s="1"/>
  <c r="AD24" i="66"/>
  <c r="G27" i="68" s="1"/>
  <c r="Z27" i="68" s="1"/>
  <c r="X24" i="66"/>
  <c r="D27" i="68" s="1"/>
  <c r="T27" i="68" s="1"/>
  <c r="AF24" i="66"/>
  <c r="H27" i="68" s="1"/>
  <c r="AB27" i="68" s="1"/>
  <c r="I74" i="77"/>
  <c r="J2" i="77"/>
  <c r="O81" i="79"/>
  <c r="G95" i="72"/>
  <c r="H76" i="64"/>
  <c r="C7" i="72"/>
  <c r="J44" i="68"/>
  <c r="K44" i="68"/>
  <c r="D79" i="71"/>
  <c r="F7" i="71"/>
  <c r="J40" i="68"/>
  <c r="K40" i="68"/>
  <c r="I67" i="79"/>
  <c r="J67" i="79" s="1"/>
  <c r="E62" i="64"/>
  <c r="I91" i="79"/>
  <c r="J91" i="79" s="1"/>
  <c r="E86" i="64"/>
  <c r="F102" i="78"/>
  <c r="F104" i="78" s="1"/>
  <c r="F112" i="67"/>
  <c r="F103" i="67"/>
  <c r="Q39" i="67"/>
  <c r="C34" i="64"/>
  <c r="AH58" i="66"/>
  <c r="I54" i="68" s="1"/>
  <c r="AD54" i="68" s="1"/>
  <c r="AO58" i="66"/>
  <c r="C55" i="71" s="1"/>
  <c r="E55" i="71" s="1"/>
  <c r="G55" i="71" s="1"/>
  <c r="G58" i="66"/>
  <c r="C54" i="68" s="1"/>
  <c r="R54" i="68" s="1"/>
  <c r="Z58" i="66"/>
  <c r="E54" i="68" s="1"/>
  <c r="V54" i="68" s="1"/>
  <c r="AD58" i="66"/>
  <c r="G54" i="68" s="1"/>
  <c r="Z54" i="68" s="1"/>
  <c r="X58" i="66"/>
  <c r="D54" i="68" s="1"/>
  <c r="T54" i="68" s="1"/>
  <c r="AB58" i="66"/>
  <c r="F54" i="68" s="1"/>
  <c r="X54" i="68" s="1"/>
  <c r="BC58" i="66"/>
  <c r="C55" i="69" s="1"/>
  <c r="D55" i="69" s="1"/>
  <c r="AX58" i="66"/>
  <c r="C55" i="72" s="1"/>
  <c r="E55" i="72" s="1"/>
  <c r="G55" i="72" s="1"/>
  <c r="AF58" i="66"/>
  <c r="H54" i="68" s="1"/>
  <c r="AB54" i="68" s="1"/>
  <c r="Q8" i="67"/>
  <c r="C3" i="64"/>
  <c r="AO19" i="66"/>
  <c r="C24" i="71" s="1"/>
  <c r="E24" i="71" s="1"/>
  <c r="G24" i="71" s="1"/>
  <c r="AF19" i="66"/>
  <c r="H23" i="68" s="1"/>
  <c r="AB23" i="68" s="1"/>
  <c r="AD19" i="66"/>
  <c r="G23" i="68" s="1"/>
  <c r="Z23" i="68" s="1"/>
  <c r="AH19" i="66"/>
  <c r="I23" i="68" s="1"/>
  <c r="AD23" i="68" s="1"/>
  <c r="X19" i="66"/>
  <c r="D23" i="68" s="1"/>
  <c r="T23" i="68" s="1"/>
  <c r="G19" i="66"/>
  <c r="C23" i="68" s="1"/>
  <c r="R23" i="68" s="1"/>
  <c r="BC19" i="66"/>
  <c r="C24" i="69" s="1"/>
  <c r="D24" i="69" s="1"/>
  <c r="AB19" i="66"/>
  <c r="F23" i="68" s="1"/>
  <c r="X23" i="68" s="1"/>
  <c r="Z19" i="66"/>
  <c r="E23" i="68" s="1"/>
  <c r="V23" i="68" s="1"/>
  <c r="M41" i="79"/>
  <c r="N41" i="79" s="1"/>
  <c r="G36" i="64"/>
  <c r="M65" i="68"/>
  <c r="J60" i="68"/>
  <c r="K60" i="68"/>
  <c r="G68" i="79"/>
  <c r="H68" i="79" s="1"/>
  <c r="Q68" i="79" s="1"/>
  <c r="D63" i="64"/>
  <c r="M63" i="64" s="1"/>
  <c r="M70" i="79"/>
  <c r="N70" i="79" s="1"/>
  <c r="G65" i="64"/>
  <c r="AH21" i="66"/>
  <c r="I25" i="68" s="1"/>
  <c r="AD25" i="68" s="1"/>
  <c r="AF21" i="66"/>
  <c r="H25" i="68" s="1"/>
  <c r="AB25" i="68" s="1"/>
  <c r="G21" i="66"/>
  <c r="C25" i="68" s="1"/>
  <c r="R25" i="68" s="1"/>
  <c r="AO21" i="66"/>
  <c r="C26" i="71" s="1"/>
  <c r="E26" i="71" s="1"/>
  <c r="G26" i="71" s="1"/>
  <c r="BC21" i="66"/>
  <c r="C26" i="69" s="1"/>
  <c r="D26" i="69" s="1"/>
  <c r="Z21" i="66"/>
  <c r="E25" i="68" s="1"/>
  <c r="V25" i="68" s="1"/>
  <c r="X21" i="66"/>
  <c r="D25" i="68" s="1"/>
  <c r="T25" i="68" s="1"/>
  <c r="AD21" i="66"/>
  <c r="G25" i="68" s="1"/>
  <c r="Z25" i="68" s="1"/>
  <c r="AB21" i="66"/>
  <c r="F25" i="68" s="1"/>
  <c r="X25" i="68" s="1"/>
  <c r="I57" i="79"/>
  <c r="J57" i="79" s="1"/>
  <c r="E52" i="64"/>
  <c r="AF27" i="66"/>
  <c r="H29" i="68" s="1"/>
  <c r="AB29" i="68" s="1"/>
  <c r="AO27" i="66"/>
  <c r="C30" i="71" s="1"/>
  <c r="E30" i="71" s="1"/>
  <c r="G30" i="71" s="1"/>
  <c r="X27" i="66"/>
  <c r="D29" i="68" s="1"/>
  <c r="AD27" i="66"/>
  <c r="G29" i="68" s="1"/>
  <c r="Z29" i="68" s="1"/>
  <c r="AB27" i="66"/>
  <c r="F29" i="68" s="1"/>
  <c r="X29" i="68" s="1"/>
  <c r="AH27" i="66"/>
  <c r="I29" i="68" s="1"/>
  <c r="AD29" i="68" s="1"/>
  <c r="G27" i="66"/>
  <c r="C29" i="68" s="1"/>
  <c r="R29" i="68" s="1"/>
  <c r="AX27" i="66"/>
  <c r="C30" i="72" s="1"/>
  <c r="E30" i="72" s="1"/>
  <c r="G30" i="72" s="1"/>
  <c r="Z27" i="66"/>
  <c r="E29" i="68" s="1"/>
  <c r="V29" i="68" s="1"/>
  <c r="BC27" i="66"/>
  <c r="C30" i="69" s="1"/>
  <c r="D30" i="69" s="1"/>
  <c r="Q19" i="67"/>
  <c r="C14" i="64"/>
  <c r="BC33" i="66"/>
  <c r="C35" i="69" s="1"/>
  <c r="D35" i="69" s="1"/>
  <c r="AO33" i="66"/>
  <c r="C35" i="71" s="1"/>
  <c r="E35" i="71" s="1"/>
  <c r="G35" i="71" s="1"/>
  <c r="AH33" i="66"/>
  <c r="I34" i="68" s="1"/>
  <c r="AD34" i="68" s="1"/>
  <c r="G33" i="66"/>
  <c r="C34" i="68" s="1"/>
  <c r="R34" i="68" s="1"/>
  <c r="Z33" i="66"/>
  <c r="E34" i="68" s="1"/>
  <c r="V34" i="68" s="1"/>
  <c r="X33" i="66"/>
  <c r="D34" i="68" s="1"/>
  <c r="T34" i="68" s="1"/>
  <c r="AD33" i="66"/>
  <c r="G34" i="68" s="1"/>
  <c r="Z34" i="68" s="1"/>
  <c r="AB33" i="66"/>
  <c r="F34" i="68" s="1"/>
  <c r="X34" i="68" s="1"/>
  <c r="AX33" i="66"/>
  <c r="C105" i="72" s="1"/>
  <c r="AF33" i="66"/>
  <c r="H34" i="68" s="1"/>
  <c r="AB34" i="68" s="1"/>
  <c r="Z15" i="66"/>
  <c r="E19" i="68" s="1"/>
  <c r="V19" i="68" s="1"/>
  <c r="AF15" i="66"/>
  <c r="H19" i="68" s="1"/>
  <c r="AB19" i="68" s="1"/>
  <c r="AD15" i="66"/>
  <c r="G19" i="68" s="1"/>
  <c r="Z19" i="68" s="1"/>
  <c r="AO15" i="66"/>
  <c r="C20" i="71" s="1"/>
  <c r="E20" i="71" s="1"/>
  <c r="G20" i="71" s="1"/>
  <c r="AH15" i="66"/>
  <c r="I19" i="68" s="1"/>
  <c r="AD19" i="68" s="1"/>
  <c r="X15" i="66"/>
  <c r="D19" i="68" s="1"/>
  <c r="T19" i="68" s="1"/>
  <c r="G15" i="66"/>
  <c r="C19" i="68" s="1"/>
  <c r="R19" i="68" s="1"/>
  <c r="BC15" i="66"/>
  <c r="C20" i="69" s="1"/>
  <c r="D20" i="69" s="1"/>
  <c r="AB15" i="66"/>
  <c r="F19" i="68" s="1"/>
  <c r="X19" i="68" s="1"/>
  <c r="Q86" i="67"/>
  <c r="C81" i="64"/>
  <c r="Q88" i="67"/>
  <c r="Q96" i="67" s="1"/>
  <c r="C83" i="64"/>
  <c r="AB79" i="66"/>
  <c r="AF79" i="66"/>
  <c r="X79" i="66"/>
  <c r="D97" i="68" s="1"/>
  <c r="Z79" i="66"/>
  <c r="BC79" i="66"/>
  <c r="C98" i="69" s="1"/>
  <c r="AD79" i="66"/>
  <c r="AH79" i="66"/>
  <c r="G79" i="66"/>
  <c r="C97" i="68" s="1"/>
  <c r="R97" i="68" s="1"/>
  <c r="R99" i="68" s="1"/>
  <c r="AO79" i="66"/>
  <c r="C97" i="71" s="1"/>
  <c r="V43" i="77"/>
  <c r="V46" i="77"/>
  <c r="J56" i="68"/>
  <c r="K56" i="68"/>
  <c r="M74" i="68"/>
  <c r="AH32" i="66"/>
  <c r="I33" i="68" s="1"/>
  <c r="AD33" i="68" s="1"/>
  <c r="AO32" i="66"/>
  <c r="C34" i="71" s="1"/>
  <c r="E34" i="71" s="1"/>
  <c r="G34" i="71" s="1"/>
  <c r="G32" i="66"/>
  <c r="C33" i="68" s="1"/>
  <c r="R33" i="68" s="1"/>
  <c r="AD32" i="66"/>
  <c r="G33" i="68" s="1"/>
  <c r="Z33" i="68" s="1"/>
  <c r="X32" i="66"/>
  <c r="D33" i="68" s="1"/>
  <c r="T33" i="68" s="1"/>
  <c r="AB32" i="66"/>
  <c r="F33" i="68" s="1"/>
  <c r="X33" i="68" s="1"/>
  <c r="Z32" i="66"/>
  <c r="E33" i="68" s="1"/>
  <c r="V33" i="68" s="1"/>
  <c r="AF32" i="66"/>
  <c r="H33" i="68" s="1"/>
  <c r="AB33" i="68" s="1"/>
  <c r="BC32" i="66"/>
  <c r="C34" i="69" s="1"/>
  <c r="D34" i="69" s="1"/>
  <c r="AI33" i="77"/>
  <c r="V33" i="77"/>
  <c r="J90" i="68"/>
  <c r="L90" i="68"/>
  <c r="J62" i="68"/>
  <c r="K62" i="68"/>
  <c r="C87" i="66"/>
  <c r="C93" i="66" s="1"/>
  <c r="AB3" i="66"/>
  <c r="AD3" i="66"/>
  <c r="Z3" i="66"/>
  <c r="BC3" i="66"/>
  <c r="X3" i="66"/>
  <c r="AH3" i="66"/>
  <c r="AF3" i="66"/>
  <c r="G3" i="66"/>
  <c r="AO3" i="66"/>
  <c r="J102" i="67"/>
  <c r="Z29" i="66"/>
  <c r="E30" i="68" s="1"/>
  <c r="V30" i="68" s="1"/>
  <c r="AD29" i="66"/>
  <c r="G30" i="68" s="1"/>
  <c r="Z30" i="68" s="1"/>
  <c r="BC29" i="66"/>
  <c r="C31" i="69" s="1"/>
  <c r="D31" i="69" s="1"/>
  <c r="AO29" i="66"/>
  <c r="C31" i="71" s="1"/>
  <c r="E31" i="71" s="1"/>
  <c r="G31" i="71" s="1"/>
  <c r="AH29" i="66"/>
  <c r="I30" i="68" s="1"/>
  <c r="AD30" i="68" s="1"/>
  <c r="G29" i="66"/>
  <c r="C30" i="68" s="1"/>
  <c r="R30" i="68" s="1"/>
  <c r="AB29" i="66"/>
  <c r="F30" i="68" s="1"/>
  <c r="X30" i="68" s="1"/>
  <c r="AF29" i="66"/>
  <c r="H30" i="68" s="1"/>
  <c r="AB30" i="68" s="1"/>
  <c r="X29" i="66"/>
  <c r="D30" i="68" s="1"/>
  <c r="T30" i="68" s="1"/>
  <c r="V39" i="77"/>
  <c r="L11" i="77"/>
  <c r="M103" i="78"/>
  <c r="AF30" i="66"/>
  <c r="H31" i="68" s="1"/>
  <c r="AB31" i="68" s="1"/>
  <c r="G30" i="66"/>
  <c r="C31" i="68" s="1"/>
  <c r="R31" i="68" s="1"/>
  <c r="AH30" i="66"/>
  <c r="I31" i="68" s="1"/>
  <c r="AD31" i="68" s="1"/>
  <c r="X30" i="66"/>
  <c r="D31" i="68" s="1"/>
  <c r="AB30" i="66"/>
  <c r="F31" i="68" s="1"/>
  <c r="X31" i="68" s="1"/>
  <c r="BC30" i="66"/>
  <c r="C32" i="69" s="1"/>
  <c r="D32" i="69" s="1"/>
  <c r="Z30" i="66"/>
  <c r="E31" i="68" s="1"/>
  <c r="V31" i="68" s="1"/>
  <c r="AO30" i="66"/>
  <c r="C32" i="71" s="1"/>
  <c r="E32" i="71" s="1"/>
  <c r="G32" i="71" s="1"/>
  <c r="AD30" i="66"/>
  <c r="G31" i="68" s="1"/>
  <c r="Z31" i="68" s="1"/>
  <c r="BG39" i="66"/>
  <c r="C84" i="70" s="1"/>
  <c r="D84" i="70" s="1"/>
  <c r="AI39" i="66"/>
  <c r="I83" i="68" s="1"/>
  <c r="AE83" i="68" s="1"/>
  <c r="AC39" i="66"/>
  <c r="F83" i="68" s="1"/>
  <c r="Y83" i="68" s="1"/>
  <c r="AG39" i="66"/>
  <c r="H83" i="68" s="1"/>
  <c r="AC83" i="68" s="1"/>
  <c r="BC39" i="66"/>
  <c r="C84" i="69" s="1"/>
  <c r="D84" i="69" s="1"/>
  <c r="AA39" i="66"/>
  <c r="E83" i="68" s="1"/>
  <c r="W83" i="68" s="1"/>
  <c r="H39" i="66"/>
  <c r="C83" i="68" s="1"/>
  <c r="S83" i="68" s="1"/>
  <c r="Y39" i="66"/>
  <c r="D83" i="68" s="1"/>
  <c r="U83" i="68" s="1"/>
  <c r="AE39" i="66"/>
  <c r="G83" i="68" s="1"/>
  <c r="AA83" i="68" s="1"/>
  <c r="AP39" i="66"/>
  <c r="D84" i="71" s="1"/>
  <c r="F84" i="71" s="1"/>
  <c r="G84" i="71" s="1"/>
  <c r="V13" i="77"/>
  <c r="V25" i="77"/>
  <c r="BC8" i="66"/>
  <c r="C12" i="69" s="1"/>
  <c r="D12" i="69" s="1"/>
  <c r="X8" i="66"/>
  <c r="D11" i="68" s="1"/>
  <c r="T11" i="68" s="1"/>
  <c r="AX8" i="66"/>
  <c r="C12" i="72" s="1"/>
  <c r="E12" i="72" s="1"/>
  <c r="G12" i="72" s="1"/>
  <c r="AH8" i="66"/>
  <c r="I11" i="68" s="1"/>
  <c r="AD11" i="68" s="1"/>
  <c r="AB8" i="66"/>
  <c r="F11" i="68" s="1"/>
  <c r="X11" i="68" s="1"/>
  <c r="AO8" i="66"/>
  <c r="C12" i="71" s="1"/>
  <c r="E12" i="71" s="1"/>
  <c r="G12" i="71" s="1"/>
  <c r="AF8" i="66"/>
  <c r="H11" i="68" s="1"/>
  <c r="AB11" i="68" s="1"/>
  <c r="Z8" i="66"/>
  <c r="E11" i="68" s="1"/>
  <c r="V11" i="68" s="1"/>
  <c r="G8" i="66"/>
  <c r="C11" i="68" s="1"/>
  <c r="R11" i="68" s="1"/>
  <c r="AD8" i="66"/>
  <c r="G11" i="68" s="1"/>
  <c r="Z11" i="68" s="1"/>
  <c r="V22" i="77"/>
  <c r="V21" i="77"/>
  <c r="V50" i="77"/>
  <c r="C95" i="71"/>
  <c r="V84" i="77"/>
  <c r="V14" i="77"/>
  <c r="Q60" i="67"/>
  <c r="C55" i="64"/>
  <c r="K61" i="68"/>
  <c r="J61" i="68"/>
  <c r="Q42" i="67"/>
  <c r="C37" i="64"/>
  <c r="Q46" i="67"/>
  <c r="C41" i="64"/>
  <c r="BC4" i="66"/>
  <c r="C8" i="69" s="1"/>
  <c r="D8" i="69" s="1"/>
  <c r="AH4" i="66"/>
  <c r="I7" i="68" s="1"/>
  <c r="AD7" i="68" s="1"/>
  <c r="AF4" i="66"/>
  <c r="H7" i="68" s="1"/>
  <c r="AB7" i="68" s="1"/>
  <c r="AO4" i="66"/>
  <c r="C8" i="71" s="1"/>
  <c r="E8" i="71" s="1"/>
  <c r="G8" i="71" s="1"/>
  <c r="Z4" i="66"/>
  <c r="E7" i="68" s="1"/>
  <c r="V7" i="68" s="1"/>
  <c r="X4" i="66"/>
  <c r="D7" i="68" s="1"/>
  <c r="T7" i="68" s="1"/>
  <c r="G4" i="66"/>
  <c r="C7" i="68" s="1"/>
  <c r="R7" i="68" s="1"/>
  <c r="AD4" i="66"/>
  <c r="G7" i="68" s="1"/>
  <c r="Z7" i="68" s="1"/>
  <c r="AB4" i="66"/>
  <c r="F7" i="68" s="1"/>
  <c r="X7" i="68" s="1"/>
  <c r="F98" i="79"/>
  <c r="F100" i="79" s="1"/>
  <c r="C100" i="79"/>
  <c r="F76" i="68"/>
  <c r="X76" i="68" s="1"/>
  <c r="Q38" i="67"/>
  <c r="C33" i="64"/>
  <c r="O63" i="79"/>
  <c r="P63" i="79" s="1"/>
  <c r="H58" i="64"/>
  <c r="I49" i="79"/>
  <c r="J49" i="79" s="1"/>
  <c r="E44" i="64"/>
  <c r="AC91" i="66"/>
  <c r="AG91" i="66"/>
  <c r="BG91" i="66"/>
  <c r="AE91" i="66"/>
  <c r="BC91" i="66"/>
  <c r="AP91" i="66"/>
  <c r="AI91" i="66"/>
  <c r="AA91" i="66"/>
  <c r="Y91" i="66"/>
  <c r="H91" i="66"/>
  <c r="I75" i="79"/>
  <c r="J75" i="79" s="1"/>
  <c r="E70" i="64"/>
  <c r="Q22" i="67"/>
  <c r="C17" i="64"/>
  <c r="Q10" i="67"/>
  <c r="C5" i="64"/>
  <c r="AO23" i="66"/>
  <c r="C27" i="71" s="1"/>
  <c r="E27" i="71" s="1"/>
  <c r="G27" i="71" s="1"/>
  <c r="G23" i="66"/>
  <c r="C26" i="68" s="1"/>
  <c r="R26" i="68" s="1"/>
  <c r="Z23" i="66"/>
  <c r="E26" i="68" s="1"/>
  <c r="V26" i="68" s="1"/>
  <c r="AD23" i="66"/>
  <c r="G26" i="68" s="1"/>
  <c r="Z26" i="68" s="1"/>
  <c r="X23" i="66"/>
  <c r="D26" i="68" s="1"/>
  <c r="T26" i="68" s="1"/>
  <c r="AH23" i="66"/>
  <c r="I26" i="68" s="1"/>
  <c r="AD26" i="68" s="1"/>
  <c r="AB23" i="66"/>
  <c r="F26" i="68" s="1"/>
  <c r="X26" i="68" s="1"/>
  <c r="BC23" i="66"/>
  <c r="C27" i="69" s="1"/>
  <c r="D27" i="69" s="1"/>
  <c r="AF23" i="66"/>
  <c r="H26" i="68" s="1"/>
  <c r="AB26" i="68" s="1"/>
  <c r="Q28" i="67"/>
  <c r="C23" i="64"/>
  <c r="AD45" i="66"/>
  <c r="G43" i="68" s="1"/>
  <c r="Z43" i="68" s="1"/>
  <c r="G45" i="66"/>
  <c r="C43" i="68" s="1"/>
  <c r="R43" i="68" s="1"/>
  <c r="AB45" i="66"/>
  <c r="F43" i="68" s="1"/>
  <c r="X43" i="68" s="1"/>
  <c r="Z45" i="66"/>
  <c r="E43" i="68" s="1"/>
  <c r="V43" i="68" s="1"/>
  <c r="AF45" i="66"/>
  <c r="H43" i="68" s="1"/>
  <c r="AB43" i="68" s="1"/>
  <c r="AH45" i="66"/>
  <c r="I43" i="68" s="1"/>
  <c r="AD43" i="68" s="1"/>
  <c r="BC45" i="66"/>
  <c r="C44" i="69" s="1"/>
  <c r="D44" i="69" s="1"/>
  <c r="AO45" i="66"/>
  <c r="C44" i="71" s="1"/>
  <c r="E44" i="71" s="1"/>
  <c r="G44" i="71" s="1"/>
  <c r="X45" i="66"/>
  <c r="D43" i="68" s="1"/>
  <c r="T43" i="68" s="1"/>
  <c r="H97" i="77"/>
  <c r="H99" i="77" s="1"/>
  <c r="F101" i="72"/>
  <c r="F123" i="72" s="1"/>
  <c r="M44" i="68"/>
  <c r="I37" i="79"/>
  <c r="J37" i="79" s="1"/>
  <c r="E32" i="64"/>
  <c r="BC10" i="66"/>
  <c r="C14" i="69" s="1"/>
  <c r="D14" i="69" s="1"/>
  <c r="AD10" i="66"/>
  <c r="G13" i="68" s="1"/>
  <c r="Z13" i="68" s="1"/>
  <c r="AF10" i="66"/>
  <c r="H13" i="68" s="1"/>
  <c r="AB13" i="68" s="1"/>
  <c r="AH10" i="66"/>
  <c r="I13" i="68" s="1"/>
  <c r="AD13" i="68" s="1"/>
  <c r="AO10" i="66"/>
  <c r="C14" i="71" s="1"/>
  <c r="E14" i="71" s="1"/>
  <c r="G14" i="71" s="1"/>
  <c r="X10" i="66"/>
  <c r="D13" i="68" s="1"/>
  <c r="T13" i="68" s="1"/>
  <c r="G10" i="66"/>
  <c r="C13" i="68" s="1"/>
  <c r="R13" i="68" s="1"/>
  <c r="Z10" i="66"/>
  <c r="E13" i="68" s="1"/>
  <c r="V13" i="68" s="1"/>
  <c r="AB10" i="66"/>
  <c r="F13" i="68" s="1"/>
  <c r="X13" i="68" s="1"/>
  <c r="AX10" i="66"/>
  <c r="C14" i="72" s="1"/>
  <c r="E14" i="72" s="1"/>
  <c r="G14" i="72" s="1"/>
  <c r="C109" i="64"/>
  <c r="H63" i="66"/>
  <c r="C88" i="68" s="1"/>
  <c r="S88" i="68" s="1"/>
  <c r="AP63" i="66"/>
  <c r="D89" i="71" s="1"/>
  <c r="F89" i="71" s="1"/>
  <c r="G89" i="71" s="1"/>
  <c r="AA63" i="66"/>
  <c r="E88" i="68" s="1"/>
  <c r="W88" i="68" s="1"/>
  <c r="AI63" i="66"/>
  <c r="I88" i="68" s="1"/>
  <c r="AE88" i="68" s="1"/>
  <c r="AG63" i="66"/>
  <c r="H88" i="68" s="1"/>
  <c r="AC88" i="68" s="1"/>
  <c r="BC63" i="66"/>
  <c r="C89" i="69" s="1"/>
  <c r="D89" i="69" s="1"/>
  <c r="BG63" i="66"/>
  <c r="C89" i="70" s="1"/>
  <c r="D89" i="70" s="1"/>
  <c r="Y63" i="66"/>
  <c r="D88" i="68" s="1"/>
  <c r="U88" i="68" s="1"/>
  <c r="AC63" i="66"/>
  <c r="F88" i="68" s="1"/>
  <c r="Y88" i="68" s="1"/>
  <c r="AE63" i="66"/>
  <c r="G88" i="68" s="1"/>
  <c r="AA88" i="68" s="1"/>
  <c r="AB11" i="66"/>
  <c r="F14" i="68" s="1"/>
  <c r="X14" i="68" s="1"/>
  <c r="G11" i="66"/>
  <c r="C14" i="68" s="1"/>
  <c r="R14" i="68" s="1"/>
  <c r="X11" i="66"/>
  <c r="D14" i="68" s="1"/>
  <c r="T14" i="68" s="1"/>
  <c r="Z11" i="66"/>
  <c r="E14" i="68" s="1"/>
  <c r="V14" i="68" s="1"/>
  <c r="AF11" i="66"/>
  <c r="H14" i="68" s="1"/>
  <c r="AB14" i="68" s="1"/>
  <c r="AD11" i="66"/>
  <c r="G14" i="68" s="1"/>
  <c r="Z14" i="68" s="1"/>
  <c r="BC11" i="66"/>
  <c r="C15" i="69" s="1"/>
  <c r="D15" i="69" s="1"/>
  <c r="AO11" i="66"/>
  <c r="C15" i="71" s="1"/>
  <c r="E15" i="71" s="1"/>
  <c r="G15" i="71" s="1"/>
  <c r="AH11" i="66"/>
  <c r="I14" i="68" s="1"/>
  <c r="AD14" i="68" s="1"/>
  <c r="Q55" i="67"/>
  <c r="C50" i="64"/>
  <c r="Q24" i="67"/>
  <c r="C19" i="64"/>
  <c r="AF38" i="66"/>
  <c r="H39" i="68" s="1"/>
  <c r="AB39" i="68" s="1"/>
  <c r="G38" i="66"/>
  <c r="C39" i="68" s="1"/>
  <c r="R39" i="68" s="1"/>
  <c r="AB38" i="66"/>
  <c r="F39" i="68" s="1"/>
  <c r="X39" i="68" s="1"/>
  <c r="BC38" i="66"/>
  <c r="C40" i="69" s="1"/>
  <c r="D40" i="69" s="1"/>
  <c r="AD38" i="66"/>
  <c r="G39" i="68" s="1"/>
  <c r="Z39" i="68" s="1"/>
  <c r="AO38" i="66"/>
  <c r="C40" i="71" s="1"/>
  <c r="E40" i="71" s="1"/>
  <c r="G40" i="71" s="1"/>
  <c r="AH38" i="66"/>
  <c r="I39" i="68" s="1"/>
  <c r="AD39" i="68" s="1"/>
  <c r="X38" i="66"/>
  <c r="D39" i="68" s="1"/>
  <c r="T39" i="68" s="1"/>
  <c r="Z38" i="66"/>
  <c r="E39" i="68" s="1"/>
  <c r="V39" i="68" s="1"/>
  <c r="AP83" i="66"/>
  <c r="D92" i="71" s="1"/>
  <c r="F92" i="71" s="1"/>
  <c r="G92" i="71" s="1"/>
  <c r="H83" i="66"/>
  <c r="C91" i="68" s="1"/>
  <c r="S91" i="68" s="1"/>
  <c r="BG83" i="66"/>
  <c r="C92" i="70" s="1"/>
  <c r="D92" i="70" s="1"/>
  <c r="Y83" i="66"/>
  <c r="D91" i="68" s="1"/>
  <c r="U91" i="68" s="1"/>
  <c r="AA83" i="66"/>
  <c r="E91" i="68" s="1"/>
  <c r="W91" i="68" s="1"/>
  <c r="AC83" i="66"/>
  <c r="F91" i="68" s="1"/>
  <c r="Y91" i="68" s="1"/>
  <c r="BC83" i="66"/>
  <c r="C92" i="69" s="1"/>
  <c r="D92" i="69" s="1"/>
  <c r="AE83" i="66"/>
  <c r="G91" i="68" s="1"/>
  <c r="AA91" i="68" s="1"/>
  <c r="AG83" i="66"/>
  <c r="H91" i="68" s="1"/>
  <c r="AC91" i="68" s="1"/>
  <c r="AI83" i="66"/>
  <c r="I91" i="68" s="1"/>
  <c r="AE91" i="68" s="1"/>
  <c r="J32" i="68"/>
  <c r="K32" i="68"/>
  <c r="AF57" i="66"/>
  <c r="H53" i="68" s="1"/>
  <c r="AB53" i="68" s="1"/>
  <c r="AO57" i="66"/>
  <c r="C54" i="71" s="1"/>
  <c r="E54" i="71" s="1"/>
  <c r="G54" i="71" s="1"/>
  <c r="Z57" i="66"/>
  <c r="E53" i="68" s="1"/>
  <c r="V53" i="68" s="1"/>
  <c r="BC57" i="66"/>
  <c r="C54" i="69" s="1"/>
  <c r="D54" i="69" s="1"/>
  <c r="X57" i="66"/>
  <c r="D53" i="68" s="1"/>
  <c r="T53" i="68" s="1"/>
  <c r="AD57" i="66"/>
  <c r="G53" i="68" s="1"/>
  <c r="Z53" i="68" s="1"/>
  <c r="AB57" i="66"/>
  <c r="F53" i="68" s="1"/>
  <c r="X53" i="68" s="1"/>
  <c r="AH57" i="66"/>
  <c r="I53" i="68" s="1"/>
  <c r="AD53" i="68" s="1"/>
  <c r="G57" i="66"/>
  <c r="C53" i="68" s="1"/>
  <c r="R53" i="68" s="1"/>
  <c r="Q26" i="67"/>
  <c r="C21" i="64"/>
  <c r="Q30" i="67"/>
  <c r="C25" i="64"/>
  <c r="I61" i="79"/>
  <c r="J61" i="79" s="1"/>
  <c r="E56" i="64"/>
  <c r="Q35" i="67"/>
  <c r="C30" i="64"/>
  <c r="BC54" i="66"/>
  <c r="C51" i="69" s="1"/>
  <c r="D51" i="69" s="1"/>
  <c r="AO54" i="66"/>
  <c r="C51" i="71" s="1"/>
  <c r="E51" i="71" s="1"/>
  <c r="G51" i="71" s="1"/>
  <c r="AH54" i="66"/>
  <c r="I50" i="68" s="1"/>
  <c r="AD50" i="68" s="1"/>
  <c r="G54" i="66"/>
  <c r="C50" i="68" s="1"/>
  <c r="R50" i="68" s="1"/>
  <c r="Z54" i="66"/>
  <c r="E50" i="68" s="1"/>
  <c r="V50" i="68" s="1"/>
  <c r="X54" i="66"/>
  <c r="D50" i="68" s="1"/>
  <c r="T50" i="68" s="1"/>
  <c r="AD54" i="66"/>
  <c r="G50" i="68" s="1"/>
  <c r="Z50" i="68" s="1"/>
  <c r="AB54" i="66"/>
  <c r="F50" i="68" s="1"/>
  <c r="X50" i="68" s="1"/>
  <c r="AF54" i="66"/>
  <c r="H50" i="68" s="1"/>
  <c r="AB50" i="68" s="1"/>
  <c r="Q20" i="67"/>
  <c r="C15" i="64"/>
  <c r="AD34" i="66"/>
  <c r="G35" i="68" s="1"/>
  <c r="Z35" i="68" s="1"/>
  <c r="AO34" i="66"/>
  <c r="C36" i="71" s="1"/>
  <c r="E36" i="71" s="1"/>
  <c r="G36" i="71" s="1"/>
  <c r="AF34" i="66"/>
  <c r="H35" i="68" s="1"/>
  <c r="AB35" i="68" s="1"/>
  <c r="G34" i="66"/>
  <c r="C35" i="68" s="1"/>
  <c r="R35" i="68" s="1"/>
  <c r="Z34" i="66"/>
  <c r="E35" i="68" s="1"/>
  <c r="V35" i="68" s="1"/>
  <c r="X34" i="66"/>
  <c r="D35" i="68" s="1"/>
  <c r="T35" i="68" s="1"/>
  <c r="AH34" i="66"/>
  <c r="I35" i="68" s="1"/>
  <c r="AD35" i="68" s="1"/>
  <c r="AB34" i="66"/>
  <c r="F35" i="68" s="1"/>
  <c r="X35" i="68" s="1"/>
  <c r="BC34" i="66"/>
  <c r="C36" i="69" s="1"/>
  <c r="D36" i="69" s="1"/>
  <c r="N96" i="67"/>
  <c r="L93" i="77"/>
  <c r="M100" i="67"/>
  <c r="V54" i="77"/>
  <c r="G90" i="71"/>
  <c r="V55" i="77"/>
  <c r="I118" i="64"/>
  <c r="I121" i="64"/>
  <c r="M32" i="68"/>
  <c r="M56" i="68"/>
  <c r="Q34" i="67"/>
  <c r="C29" i="64"/>
  <c r="C76" i="68"/>
  <c r="R76" i="68" s="1"/>
  <c r="M91" i="79"/>
  <c r="N91" i="79" s="1"/>
  <c r="G86" i="64"/>
  <c r="I45" i="79"/>
  <c r="J45" i="79" s="1"/>
  <c r="E40" i="64"/>
  <c r="J70" i="68"/>
  <c r="K70" i="68"/>
  <c r="L76" i="77"/>
  <c r="M96" i="67"/>
  <c r="N79" i="67"/>
  <c r="Q7" i="67"/>
  <c r="C2" i="64"/>
  <c r="E126" i="78"/>
  <c r="G126" i="78" s="1"/>
  <c r="E125" i="78"/>
  <c r="G125" i="78" s="1"/>
  <c r="E130" i="78"/>
  <c r="G130" i="78" s="1"/>
  <c r="E129" i="78"/>
  <c r="G129" i="78" s="1"/>
  <c r="E127" i="78"/>
  <c r="G127" i="78" s="1"/>
  <c r="H132" i="78"/>
  <c r="E131" i="78"/>
  <c r="G131" i="78" s="1"/>
  <c r="E124" i="78"/>
  <c r="E128" i="78"/>
  <c r="G128" i="78" s="1"/>
  <c r="Q31" i="67"/>
  <c r="C26" i="64"/>
  <c r="Z50" i="66"/>
  <c r="E46" i="68" s="1"/>
  <c r="V46" i="68" s="1"/>
  <c r="BC50" i="66"/>
  <c r="C47" i="69" s="1"/>
  <c r="D47" i="69" s="1"/>
  <c r="AO50" i="66"/>
  <c r="C47" i="71" s="1"/>
  <c r="E47" i="71" s="1"/>
  <c r="G47" i="71" s="1"/>
  <c r="AH50" i="66"/>
  <c r="I46" i="68" s="1"/>
  <c r="AD46" i="68" s="1"/>
  <c r="G50" i="66"/>
  <c r="C46" i="68" s="1"/>
  <c r="R46" i="68" s="1"/>
  <c r="AF50" i="66"/>
  <c r="H46" i="68" s="1"/>
  <c r="AB46" i="68" s="1"/>
  <c r="AD50" i="66"/>
  <c r="G46" i="68" s="1"/>
  <c r="Z46" i="68" s="1"/>
  <c r="X50" i="66"/>
  <c r="D46" i="68" s="1"/>
  <c r="T46" i="68" s="1"/>
  <c r="AX50" i="66"/>
  <c r="C47" i="72" s="1"/>
  <c r="E47" i="72" s="1"/>
  <c r="G47" i="72" s="1"/>
  <c r="AB50" i="66"/>
  <c r="F46" i="68" s="1"/>
  <c r="X46" i="68" s="1"/>
  <c r="V15" i="77"/>
  <c r="Q32" i="67"/>
  <c r="C27" i="64"/>
  <c r="AF51" i="66"/>
  <c r="H47" i="68" s="1"/>
  <c r="AB47" i="68" s="1"/>
  <c r="G51" i="66"/>
  <c r="C47" i="68" s="1"/>
  <c r="R47" i="68" s="1"/>
  <c r="BC51" i="66"/>
  <c r="C48" i="69" s="1"/>
  <c r="D48" i="69" s="1"/>
  <c r="Z51" i="66"/>
  <c r="E47" i="68" s="1"/>
  <c r="V47" i="68" s="1"/>
  <c r="AD51" i="66"/>
  <c r="G47" i="68" s="1"/>
  <c r="Z47" i="68" s="1"/>
  <c r="X51" i="66"/>
  <c r="D47" i="68" s="1"/>
  <c r="T47" i="68" s="1"/>
  <c r="AH51" i="66"/>
  <c r="I47" i="68" s="1"/>
  <c r="AD47" i="68" s="1"/>
  <c r="AB51" i="66"/>
  <c r="F47" i="68" s="1"/>
  <c r="X47" i="68" s="1"/>
  <c r="AO51" i="66"/>
  <c r="C48" i="71" s="1"/>
  <c r="E48" i="71" s="1"/>
  <c r="G48" i="71" s="1"/>
  <c r="Y96" i="67"/>
  <c r="Y102" i="67" s="1"/>
  <c r="M13" i="79"/>
  <c r="N13" i="79" s="1"/>
  <c r="G8" i="64"/>
  <c r="Q12" i="67"/>
  <c r="C7" i="64"/>
  <c r="F97" i="77"/>
  <c r="F99" i="77" s="1"/>
  <c r="V18" i="77"/>
  <c r="V51" i="77"/>
  <c r="V78" i="77"/>
  <c r="V41" i="77"/>
  <c r="V79" i="77"/>
  <c r="I71" i="79"/>
  <c r="J71" i="79" s="1"/>
  <c r="E66" i="64"/>
  <c r="I33" i="79"/>
  <c r="J33" i="79" s="1"/>
  <c r="E28" i="64"/>
  <c r="Q56" i="67"/>
  <c r="C51" i="64"/>
  <c r="J28" i="68"/>
  <c r="K28" i="68"/>
  <c r="I63" i="79"/>
  <c r="J63" i="79" s="1"/>
  <c r="E58" i="64"/>
  <c r="C77" i="71"/>
  <c r="E77" i="71" s="1"/>
  <c r="G77" i="71" s="1"/>
  <c r="Q50" i="67"/>
  <c r="C45" i="64"/>
  <c r="BC43" i="66"/>
  <c r="C86" i="69" s="1"/>
  <c r="D86" i="69" s="1"/>
  <c r="AC43" i="66"/>
  <c r="F85" i="68" s="1"/>
  <c r="Y85" i="68" s="1"/>
  <c r="H43" i="66"/>
  <c r="C85" i="68" s="1"/>
  <c r="S85" i="68" s="1"/>
  <c r="BG43" i="66"/>
  <c r="C86" i="70" s="1"/>
  <c r="D86" i="70" s="1"/>
  <c r="AI43" i="66"/>
  <c r="I85" i="68" s="1"/>
  <c r="AE85" i="68" s="1"/>
  <c r="AP43" i="66"/>
  <c r="D86" i="71" s="1"/>
  <c r="F86" i="71" s="1"/>
  <c r="G86" i="71" s="1"/>
  <c r="Y43" i="66"/>
  <c r="D85" i="68" s="1"/>
  <c r="U85" i="68" s="1"/>
  <c r="AA43" i="66"/>
  <c r="E85" i="68" s="1"/>
  <c r="W85" i="68" s="1"/>
  <c r="AG43" i="66"/>
  <c r="H85" i="68" s="1"/>
  <c r="AC85" i="68" s="1"/>
  <c r="AE43" i="66"/>
  <c r="G85" i="68" s="1"/>
  <c r="AA85" i="68" s="1"/>
  <c r="G76" i="68"/>
  <c r="Z76" i="68" s="1"/>
  <c r="V31" i="77"/>
  <c r="G64" i="79"/>
  <c r="H64" i="79" s="1"/>
  <c r="Q64" i="79" s="1"/>
  <c r="D59" i="64"/>
  <c r="M59" i="64" s="1"/>
  <c r="J68" i="68"/>
  <c r="K68" i="68"/>
  <c r="Q18" i="67"/>
  <c r="C13" i="64"/>
  <c r="H76" i="68"/>
  <c r="AB76" i="68" s="1"/>
  <c r="AI17" i="77"/>
  <c r="V17" i="77"/>
  <c r="K91" i="79"/>
  <c r="L91" i="79" s="1"/>
  <c r="F86" i="64"/>
  <c r="Q27" i="67"/>
  <c r="C22" i="64"/>
  <c r="BC44" i="66"/>
  <c r="C43" i="69" s="1"/>
  <c r="D43" i="69" s="1"/>
  <c r="AO44" i="66"/>
  <c r="C43" i="71" s="1"/>
  <c r="E43" i="71" s="1"/>
  <c r="G43" i="71" s="1"/>
  <c r="AH44" i="66"/>
  <c r="I42" i="68" s="1"/>
  <c r="AD42" i="68" s="1"/>
  <c r="G44" i="66"/>
  <c r="C42" i="68" s="1"/>
  <c r="R42" i="68" s="1"/>
  <c r="Z44" i="66"/>
  <c r="E42" i="68" s="1"/>
  <c r="V42" i="68" s="1"/>
  <c r="X44" i="66"/>
  <c r="D42" i="68" s="1"/>
  <c r="T42" i="68" s="1"/>
  <c r="AD44" i="66"/>
  <c r="G42" i="68" s="1"/>
  <c r="Z42" i="68" s="1"/>
  <c r="AB44" i="66"/>
  <c r="F42" i="68" s="1"/>
  <c r="X42" i="68" s="1"/>
  <c r="AF44" i="66"/>
  <c r="H42" i="68" s="1"/>
  <c r="AB42" i="68" s="1"/>
  <c r="Q44" i="67"/>
  <c r="C39" i="64"/>
  <c r="AO64" i="66"/>
  <c r="C60" i="71" s="1"/>
  <c r="E60" i="71" s="1"/>
  <c r="G60" i="71" s="1"/>
  <c r="G64" i="66"/>
  <c r="C59" i="68" s="1"/>
  <c r="R59" i="68" s="1"/>
  <c r="Z64" i="66"/>
  <c r="E59" i="68" s="1"/>
  <c r="V59" i="68" s="1"/>
  <c r="BC64" i="66"/>
  <c r="C60" i="69" s="1"/>
  <c r="D60" i="69" s="1"/>
  <c r="AH64" i="66"/>
  <c r="I59" i="68" s="1"/>
  <c r="AD59" i="68" s="1"/>
  <c r="X64" i="66"/>
  <c r="D59" i="68" s="1"/>
  <c r="T59" i="68" s="1"/>
  <c r="AB64" i="66"/>
  <c r="F59" i="68" s="1"/>
  <c r="X59" i="68" s="1"/>
  <c r="AD64" i="66"/>
  <c r="G59" i="68" s="1"/>
  <c r="Z59" i="68" s="1"/>
  <c r="AF64" i="66"/>
  <c r="H59" i="68" s="1"/>
  <c r="AB59" i="68" s="1"/>
  <c r="M71" i="79"/>
  <c r="N71" i="79" s="1"/>
  <c r="G66" i="64"/>
  <c r="AE121" i="65"/>
  <c r="M36" i="68"/>
  <c r="O36" i="68" s="1"/>
  <c r="M69" i="68"/>
  <c r="O69" i="68" s="1"/>
  <c r="J64" i="68"/>
  <c r="K64" i="68"/>
  <c r="AH42" i="66"/>
  <c r="I41" i="68" s="1"/>
  <c r="AD41" i="68" s="1"/>
  <c r="AO42" i="66"/>
  <c r="C42" i="71" s="1"/>
  <c r="E42" i="71" s="1"/>
  <c r="G42" i="71" s="1"/>
  <c r="G42" i="66"/>
  <c r="C41" i="68" s="1"/>
  <c r="R41" i="68" s="1"/>
  <c r="AF42" i="66"/>
  <c r="H41" i="68" s="1"/>
  <c r="AB41" i="68" s="1"/>
  <c r="BC42" i="66"/>
  <c r="C42" i="69" s="1"/>
  <c r="D42" i="69" s="1"/>
  <c r="Z42" i="66"/>
  <c r="E41" i="68" s="1"/>
  <c r="V41" i="68" s="1"/>
  <c r="X42" i="66"/>
  <c r="D41" i="68" s="1"/>
  <c r="T41" i="68" s="1"/>
  <c r="AD42" i="66"/>
  <c r="G41" i="68" s="1"/>
  <c r="Z41" i="68" s="1"/>
  <c r="AB42" i="66"/>
  <c r="F41" i="68" s="1"/>
  <c r="X41" i="68" s="1"/>
  <c r="M64" i="68"/>
  <c r="Q14" i="67"/>
  <c r="C9" i="64"/>
  <c r="AF49" i="66"/>
  <c r="H45" i="68" s="1"/>
  <c r="AB45" i="68" s="1"/>
  <c r="AO49" i="66"/>
  <c r="C46" i="71" s="1"/>
  <c r="E46" i="71" s="1"/>
  <c r="G46" i="71" s="1"/>
  <c r="Z49" i="66"/>
  <c r="E45" i="68" s="1"/>
  <c r="V45" i="68" s="1"/>
  <c r="AD49" i="66"/>
  <c r="G45" i="68" s="1"/>
  <c r="Z45" i="68" s="1"/>
  <c r="BC49" i="66"/>
  <c r="C46" i="69" s="1"/>
  <c r="D46" i="69" s="1"/>
  <c r="X49" i="66"/>
  <c r="D45" i="68" s="1"/>
  <c r="T45" i="68" s="1"/>
  <c r="AH49" i="66"/>
  <c r="I45" i="68" s="1"/>
  <c r="AD45" i="68" s="1"/>
  <c r="AB49" i="66"/>
  <c r="F45" i="68" s="1"/>
  <c r="X45" i="68" s="1"/>
  <c r="G49" i="66"/>
  <c r="C45" i="68" s="1"/>
  <c r="R45" i="68" s="1"/>
  <c r="K66" i="68"/>
  <c r="J66" i="68"/>
  <c r="Q15" i="67"/>
  <c r="C10" i="64"/>
  <c r="BC18" i="66"/>
  <c r="C23" i="69" s="1"/>
  <c r="D23" i="69" s="1"/>
  <c r="Z18" i="66"/>
  <c r="E22" i="68" s="1"/>
  <c r="V22" i="68" s="1"/>
  <c r="AF18" i="66"/>
  <c r="H22" i="68" s="1"/>
  <c r="AB22" i="68" s="1"/>
  <c r="AD18" i="66"/>
  <c r="G22" i="68" s="1"/>
  <c r="Z22" i="68" s="1"/>
  <c r="AO18" i="66"/>
  <c r="C23" i="71" s="1"/>
  <c r="E23" i="71" s="1"/>
  <c r="G23" i="71" s="1"/>
  <c r="AH18" i="66"/>
  <c r="I22" i="68" s="1"/>
  <c r="AD22" i="68" s="1"/>
  <c r="X18" i="66"/>
  <c r="D22" i="68" s="1"/>
  <c r="T22" i="68" s="1"/>
  <c r="G18" i="66"/>
  <c r="C22" i="68" s="1"/>
  <c r="R22" i="68" s="1"/>
  <c r="AB18" i="66"/>
  <c r="F22" i="68" s="1"/>
  <c r="X22" i="68" s="1"/>
  <c r="V3" i="77"/>
  <c r="V35" i="77"/>
  <c r="Q40" i="67"/>
  <c r="C35" i="64"/>
  <c r="AD59" i="66"/>
  <c r="G55" i="68" s="1"/>
  <c r="Z55" i="68" s="1"/>
  <c r="AO59" i="66"/>
  <c r="C56" i="71" s="1"/>
  <c r="E56" i="71" s="1"/>
  <c r="G56" i="71" s="1"/>
  <c r="AH59" i="66"/>
  <c r="I55" i="68" s="1"/>
  <c r="AD55" i="68" s="1"/>
  <c r="G59" i="66"/>
  <c r="C55" i="68" s="1"/>
  <c r="R55" i="68" s="1"/>
  <c r="AX59" i="66"/>
  <c r="C56" i="72" s="1"/>
  <c r="E56" i="72" s="1"/>
  <c r="G56" i="72" s="1"/>
  <c r="Z59" i="66"/>
  <c r="E55" i="68" s="1"/>
  <c r="V55" i="68" s="1"/>
  <c r="X59" i="66"/>
  <c r="D55" i="68" s="1"/>
  <c r="BC59" i="66"/>
  <c r="C56" i="69" s="1"/>
  <c r="D56" i="69" s="1"/>
  <c r="AB59" i="66"/>
  <c r="F55" i="68" s="1"/>
  <c r="X55" i="68" s="1"/>
  <c r="AF59" i="66"/>
  <c r="H55" i="68" s="1"/>
  <c r="AB55" i="68" s="1"/>
  <c r="M73" i="79"/>
  <c r="N73" i="79" s="1"/>
  <c r="G68" i="64"/>
  <c r="N90" i="68"/>
  <c r="AH53" i="66"/>
  <c r="I49" i="68" s="1"/>
  <c r="AD49" i="68" s="1"/>
  <c r="AO53" i="66"/>
  <c r="C50" i="71" s="1"/>
  <c r="E50" i="71" s="1"/>
  <c r="G50" i="71" s="1"/>
  <c r="Z53" i="66"/>
  <c r="E49" i="68" s="1"/>
  <c r="V49" i="68" s="1"/>
  <c r="BC53" i="66"/>
  <c r="C50" i="69" s="1"/>
  <c r="D50" i="69" s="1"/>
  <c r="X53" i="66"/>
  <c r="D49" i="68" s="1"/>
  <c r="T49" i="68" s="1"/>
  <c r="AD53" i="66"/>
  <c r="G49" i="68" s="1"/>
  <c r="Z49" i="68" s="1"/>
  <c r="AB53" i="66"/>
  <c r="F49" i="68" s="1"/>
  <c r="X49" i="68" s="1"/>
  <c r="AF53" i="66"/>
  <c r="H49" i="68" s="1"/>
  <c r="AB49" i="68" s="1"/>
  <c r="G53" i="66"/>
  <c r="C49" i="68" s="1"/>
  <c r="R49" i="68" s="1"/>
  <c r="L102" i="78"/>
  <c r="L104" i="78" s="1"/>
  <c r="L112" i="67"/>
  <c r="L104" i="67"/>
  <c r="Q54" i="67"/>
  <c r="C49" i="64"/>
  <c r="E76" i="68"/>
  <c r="AH7" i="66"/>
  <c r="I10" i="68" s="1"/>
  <c r="AD10" i="68" s="1"/>
  <c r="AO7" i="66"/>
  <c r="C11" i="71" s="1"/>
  <c r="E11" i="71" s="1"/>
  <c r="G11" i="71" s="1"/>
  <c r="AD7" i="66"/>
  <c r="G10" i="68" s="1"/>
  <c r="Z10" i="68" s="1"/>
  <c r="G7" i="66"/>
  <c r="C10" i="68" s="1"/>
  <c r="R10" i="68" s="1"/>
  <c r="AX7" i="66"/>
  <c r="C11" i="72" s="1"/>
  <c r="E11" i="72" s="1"/>
  <c r="G11" i="72" s="1"/>
  <c r="X7" i="66"/>
  <c r="D10" i="68" s="1"/>
  <c r="T10" i="68" s="1"/>
  <c r="BC7" i="66"/>
  <c r="C11" i="69" s="1"/>
  <c r="D11" i="69" s="1"/>
  <c r="AB7" i="66"/>
  <c r="F10" i="68" s="1"/>
  <c r="X10" i="68" s="1"/>
  <c r="Z7" i="66"/>
  <c r="E10" i="68" s="1"/>
  <c r="V10" i="68" s="1"/>
  <c r="AF7" i="66"/>
  <c r="H10" i="68" s="1"/>
  <c r="AB10" i="68" s="1"/>
  <c r="Q51" i="67"/>
  <c r="C46" i="64"/>
  <c r="Q36" i="67"/>
  <c r="C31" i="64"/>
  <c r="AD55" i="66"/>
  <c r="G51" i="68" s="1"/>
  <c r="Z51" i="68" s="1"/>
  <c r="G55" i="66"/>
  <c r="C51" i="68" s="1"/>
  <c r="R51" i="68" s="1"/>
  <c r="AB55" i="66"/>
  <c r="F51" i="68" s="1"/>
  <c r="X51" i="68" s="1"/>
  <c r="Z55" i="66"/>
  <c r="E51" i="68" s="1"/>
  <c r="V51" i="68" s="1"/>
  <c r="AF55" i="66"/>
  <c r="H51" i="68" s="1"/>
  <c r="AB51" i="68" s="1"/>
  <c r="AH55" i="66"/>
  <c r="I51" i="68" s="1"/>
  <c r="AD51" i="68" s="1"/>
  <c r="BC55" i="66"/>
  <c r="C52" i="69" s="1"/>
  <c r="D52" i="69" s="1"/>
  <c r="AO55" i="66"/>
  <c r="C52" i="71" s="1"/>
  <c r="E52" i="71" s="1"/>
  <c r="G52" i="71" s="1"/>
  <c r="X55" i="66"/>
  <c r="D51" i="68" s="1"/>
  <c r="T51" i="68" s="1"/>
  <c r="BG47" i="66"/>
  <c r="C88" i="70" s="1"/>
  <c r="D88" i="70" s="1"/>
  <c r="AI47" i="66"/>
  <c r="I87" i="68" s="1"/>
  <c r="AE87" i="68" s="1"/>
  <c r="AC47" i="66"/>
  <c r="F87" i="68" s="1"/>
  <c r="Y87" i="68" s="1"/>
  <c r="BC47" i="66"/>
  <c r="C88" i="69" s="1"/>
  <c r="D88" i="69" s="1"/>
  <c r="AA47" i="66"/>
  <c r="E87" i="68" s="1"/>
  <c r="W87" i="68" s="1"/>
  <c r="AE47" i="66"/>
  <c r="G87" i="68" s="1"/>
  <c r="AA87" i="68" s="1"/>
  <c r="H47" i="66"/>
  <c r="C87" i="68" s="1"/>
  <c r="S87" i="68" s="1"/>
  <c r="Y47" i="66"/>
  <c r="D87" i="68" s="1"/>
  <c r="U87" i="68" s="1"/>
  <c r="AG47" i="66"/>
  <c r="H87" i="68" s="1"/>
  <c r="AC87" i="68" s="1"/>
  <c r="AP47" i="66"/>
  <c r="D88" i="71" s="1"/>
  <c r="F88" i="71" s="1"/>
  <c r="G88" i="71" s="1"/>
  <c r="Q98" i="67"/>
  <c r="Q100" i="67" s="1"/>
  <c r="N100" i="67"/>
  <c r="C93" i="64"/>
  <c r="V9" i="77"/>
  <c r="I95" i="77"/>
  <c r="J93" i="77"/>
  <c r="J52" i="68"/>
  <c r="K52" i="68"/>
  <c r="O92" i="68"/>
  <c r="M66" i="79"/>
  <c r="N66" i="79" s="1"/>
  <c r="G61" i="64"/>
  <c r="AF36" i="66"/>
  <c r="H37" i="68" s="1"/>
  <c r="AB37" i="68" s="1"/>
  <c r="G36" i="66"/>
  <c r="C37" i="68" s="1"/>
  <c r="R37" i="68" s="1"/>
  <c r="Z36" i="66"/>
  <c r="E37" i="68" s="1"/>
  <c r="V37" i="68" s="1"/>
  <c r="BC36" i="66"/>
  <c r="C38" i="69" s="1"/>
  <c r="D38" i="69" s="1"/>
  <c r="AO36" i="66"/>
  <c r="C38" i="71" s="1"/>
  <c r="E38" i="71" s="1"/>
  <c r="G38" i="71" s="1"/>
  <c r="AD36" i="66"/>
  <c r="G37" i="68" s="1"/>
  <c r="Z37" i="68" s="1"/>
  <c r="X36" i="66"/>
  <c r="D37" i="68" s="1"/>
  <c r="AH36" i="66"/>
  <c r="I37" i="68" s="1"/>
  <c r="AD37" i="68" s="1"/>
  <c r="AB36" i="66"/>
  <c r="F37" i="68" s="1"/>
  <c r="X37" i="68" s="1"/>
  <c r="I41" i="79"/>
  <c r="J41" i="79" s="1"/>
  <c r="E36" i="64"/>
  <c r="L98" i="79"/>
  <c r="L100" i="79" s="1"/>
  <c r="K100" i="79"/>
  <c r="X96" i="67"/>
  <c r="X102" i="67" s="1"/>
  <c r="L2" i="77"/>
  <c r="M110" i="67"/>
  <c r="M79" i="67"/>
  <c r="M102" i="67" s="1"/>
  <c r="C79" i="79"/>
  <c r="F7" i="79"/>
  <c r="F79" i="79" s="1"/>
  <c r="F102" i="79" s="1"/>
  <c r="Q47" i="67"/>
  <c r="C42" i="64"/>
  <c r="V23" i="77"/>
  <c r="BC12" i="66"/>
  <c r="C16" i="69" s="1"/>
  <c r="D16" i="69" s="1"/>
  <c r="AD12" i="66"/>
  <c r="G15" i="68" s="1"/>
  <c r="Z15" i="68" s="1"/>
  <c r="AO12" i="66"/>
  <c r="C16" i="71" s="1"/>
  <c r="E16" i="71" s="1"/>
  <c r="G16" i="71" s="1"/>
  <c r="AH12" i="66"/>
  <c r="I15" i="68" s="1"/>
  <c r="AD15" i="68" s="1"/>
  <c r="X12" i="66"/>
  <c r="D15" i="68" s="1"/>
  <c r="T15" i="68" s="1"/>
  <c r="AX12" i="66"/>
  <c r="C109" i="72" s="1"/>
  <c r="AB12" i="66"/>
  <c r="F15" i="68" s="1"/>
  <c r="X15" i="68" s="1"/>
  <c r="G12" i="66"/>
  <c r="C15" i="68" s="1"/>
  <c r="R15" i="68" s="1"/>
  <c r="Z12" i="66"/>
  <c r="E15" i="68" s="1"/>
  <c r="V15" i="68" s="1"/>
  <c r="AF12" i="66"/>
  <c r="H15" i="68" s="1"/>
  <c r="AB15" i="68" s="1"/>
  <c r="Q48" i="67"/>
  <c r="C43" i="64"/>
  <c r="V5" i="77"/>
  <c r="V38" i="77"/>
  <c r="V53" i="77"/>
  <c r="Q76" i="79"/>
  <c r="V37" i="77"/>
  <c r="D80" i="64" l="1"/>
  <c r="M80" i="64" s="1"/>
  <c r="M80" i="77" s="1"/>
  <c r="Q80" i="77" s="1"/>
  <c r="C91" i="64"/>
  <c r="C102" i="79"/>
  <c r="E103" i="79"/>
  <c r="D109" i="79" s="1"/>
  <c r="G21" i="79"/>
  <c r="H21" i="79" s="1"/>
  <c r="Q21" i="79" s="1"/>
  <c r="O60" i="68"/>
  <c r="G61" i="79" s="1"/>
  <c r="H61" i="79" s="1"/>
  <c r="Q61" i="79" s="1"/>
  <c r="D12" i="64"/>
  <c r="M12" i="64" s="1"/>
  <c r="M12" i="77" s="1"/>
  <c r="Q12" i="77" s="1"/>
  <c r="G13" i="79"/>
  <c r="H13" i="79" s="1"/>
  <c r="Q13" i="79" s="1"/>
  <c r="Q25" i="79"/>
  <c r="O70" i="68"/>
  <c r="D66" i="64" s="1"/>
  <c r="M66" i="64" s="1"/>
  <c r="D20" i="64"/>
  <c r="M77" i="64"/>
  <c r="M77" i="77" s="1"/>
  <c r="Q77" i="77" s="1"/>
  <c r="AB77" i="77" s="1"/>
  <c r="G90" i="79"/>
  <c r="H90" i="79" s="1"/>
  <c r="L99" i="68"/>
  <c r="O98" i="68"/>
  <c r="I77" i="79"/>
  <c r="J77" i="79" s="1"/>
  <c r="U106" i="68"/>
  <c r="R70" i="39" s="1"/>
  <c r="M4" i="64"/>
  <c r="M4" i="77" s="1"/>
  <c r="Q4" i="77" s="1"/>
  <c r="O28" i="68"/>
  <c r="G29" i="79" s="1"/>
  <c r="H29" i="79" s="1"/>
  <c r="Q29" i="79" s="1"/>
  <c r="U99" i="68"/>
  <c r="T97" i="68"/>
  <c r="T99" i="68" s="1"/>
  <c r="G97" i="68"/>
  <c r="H97" i="68"/>
  <c r="S99" i="68"/>
  <c r="E97" i="68"/>
  <c r="I97" i="68"/>
  <c r="F97" i="68"/>
  <c r="G87" i="79"/>
  <c r="H87" i="79" s="1"/>
  <c r="Q87" i="79" s="1"/>
  <c r="O73" i="68"/>
  <c r="G74" i="79" s="1"/>
  <c r="H74" i="79" s="1"/>
  <c r="Q74" i="79" s="1"/>
  <c r="O61" i="68"/>
  <c r="D57" i="64" s="1"/>
  <c r="M57" i="64" s="1"/>
  <c r="M20" i="64"/>
  <c r="M20" i="77" s="1"/>
  <c r="Q20" i="77" s="1"/>
  <c r="H91" i="64"/>
  <c r="M16" i="64"/>
  <c r="M16" i="77" s="1"/>
  <c r="Q16" i="77" s="1"/>
  <c r="H93" i="64"/>
  <c r="H95" i="64" s="1"/>
  <c r="O62" i="68"/>
  <c r="G63" i="79" s="1"/>
  <c r="H63" i="79" s="1"/>
  <c r="Q63" i="79" s="1"/>
  <c r="O98" i="79"/>
  <c r="P98" i="79" s="1"/>
  <c r="M76" i="68"/>
  <c r="V76" i="68"/>
  <c r="O32" i="68"/>
  <c r="G33" i="79" s="1"/>
  <c r="H33" i="79" s="1"/>
  <c r="Q33" i="79" s="1"/>
  <c r="M37" i="68"/>
  <c r="T37" i="68"/>
  <c r="O66" i="68"/>
  <c r="G67" i="79" s="1"/>
  <c r="H67" i="79" s="1"/>
  <c r="Q67" i="79" s="1"/>
  <c r="O40" i="68"/>
  <c r="G41" i="79" s="1"/>
  <c r="H41" i="79" s="1"/>
  <c r="Q41" i="79" s="1"/>
  <c r="M58" i="68"/>
  <c r="T58" i="68"/>
  <c r="M55" i="68"/>
  <c r="T55" i="68"/>
  <c r="M31" i="68"/>
  <c r="T31" i="68"/>
  <c r="M29" i="68"/>
  <c r="T29" i="68"/>
  <c r="O52" i="68"/>
  <c r="G53" i="79" s="1"/>
  <c r="H53" i="79" s="1"/>
  <c r="Q53" i="79" s="1"/>
  <c r="O64" i="68"/>
  <c r="D60" i="64" s="1"/>
  <c r="M60" i="64" s="1"/>
  <c r="O68" i="68"/>
  <c r="G69" i="79" s="1"/>
  <c r="H69" i="79" s="1"/>
  <c r="Q69" i="79" s="1"/>
  <c r="M8" i="64"/>
  <c r="M8" i="77" s="1"/>
  <c r="Q8" i="77" s="1"/>
  <c r="M21" i="68"/>
  <c r="T21" i="68"/>
  <c r="M38" i="68"/>
  <c r="T38" i="68"/>
  <c r="G70" i="79"/>
  <c r="H70" i="79" s="1"/>
  <c r="Q70" i="79" s="1"/>
  <c r="D65" i="64"/>
  <c r="M65" i="64" s="1"/>
  <c r="K10" i="68"/>
  <c r="J10" i="68"/>
  <c r="I50" i="79"/>
  <c r="J50" i="79" s="1"/>
  <c r="E45" i="64"/>
  <c r="J22" i="68"/>
  <c r="K22" i="68"/>
  <c r="K45" i="68"/>
  <c r="J45" i="68"/>
  <c r="I46" i="79"/>
  <c r="J46" i="79" s="1"/>
  <c r="E41" i="64"/>
  <c r="I42" i="79"/>
  <c r="J42" i="79" s="1"/>
  <c r="E37" i="64"/>
  <c r="I60" i="79"/>
  <c r="J60" i="79" s="1"/>
  <c r="E55" i="64"/>
  <c r="N85" i="68"/>
  <c r="L85" i="68"/>
  <c r="J85" i="68"/>
  <c r="M77" i="79"/>
  <c r="N77" i="79" s="1"/>
  <c r="G72" i="64"/>
  <c r="G109" i="64" s="1"/>
  <c r="M48" i="79"/>
  <c r="N48" i="79" s="1"/>
  <c r="G43" i="64"/>
  <c r="I47" i="79"/>
  <c r="J47" i="79" s="1"/>
  <c r="E42" i="64"/>
  <c r="K35" i="68"/>
  <c r="J35" i="68"/>
  <c r="D28" i="64"/>
  <c r="M28" i="64" s="1"/>
  <c r="M92" i="79"/>
  <c r="N92" i="79" s="1"/>
  <c r="G87" i="64"/>
  <c r="M40" i="79"/>
  <c r="N40" i="79" s="1"/>
  <c r="G35" i="64"/>
  <c r="J39" i="68"/>
  <c r="K39" i="68"/>
  <c r="K89" i="79"/>
  <c r="L89" i="79" s="1"/>
  <c r="F84" i="64"/>
  <c r="M67" i="77"/>
  <c r="Q67" i="77" s="1"/>
  <c r="K43" i="68"/>
  <c r="J43" i="68"/>
  <c r="M26" i="68"/>
  <c r="M27" i="79"/>
  <c r="N27" i="79" s="1"/>
  <c r="G22" i="64"/>
  <c r="I93" i="68"/>
  <c r="AE93" i="68" s="1"/>
  <c r="C94" i="70"/>
  <c r="D94" i="70" s="1"/>
  <c r="J7" i="68"/>
  <c r="K7" i="68"/>
  <c r="M82" i="77"/>
  <c r="Q82" i="77" s="1"/>
  <c r="J83" i="68"/>
  <c r="L83" i="68"/>
  <c r="M32" i="79"/>
  <c r="N32" i="79" s="1"/>
  <c r="G27" i="64"/>
  <c r="J30" i="68"/>
  <c r="K30" i="68"/>
  <c r="C6" i="68"/>
  <c r="R6" i="68" s="1"/>
  <c r="R78" i="68" s="1"/>
  <c r="R101" i="68" s="1"/>
  <c r="G87" i="66"/>
  <c r="G93" i="66" s="1"/>
  <c r="C7" i="69"/>
  <c r="BC87" i="66"/>
  <c r="BC93" i="66" s="1"/>
  <c r="C103" i="69" s="1"/>
  <c r="O90" i="68"/>
  <c r="M34" i="79"/>
  <c r="N34" i="79" s="1"/>
  <c r="G29" i="64"/>
  <c r="D99" i="68"/>
  <c r="K29" i="68"/>
  <c r="J29" i="68"/>
  <c r="M54" i="68"/>
  <c r="M55" i="79"/>
  <c r="N55" i="79" s="1"/>
  <c r="G50" i="64"/>
  <c r="O44" i="68"/>
  <c r="AX87" i="66"/>
  <c r="AX93" i="66" s="1"/>
  <c r="C102" i="72" s="1"/>
  <c r="I97" i="77"/>
  <c r="I99" i="77" s="1"/>
  <c r="M28" i="79"/>
  <c r="N28" i="79" s="1"/>
  <c r="G23" i="64"/>
  <c r="I28" i="79"/>
  <c r="J28" i="79" s="1"/>
  <c r="E23" i="64"/>
  <c r="J82" i="68"/>
  <c r="L82" i="68"/>
  <c r="M63" i="77"/>
  <c r="Q63" i="77" s="1"/>
  <c r="M59" i="79"/>
  <c r="N59" i="79" s="1"/>
  <c r="G54" i="64"/>
  <c r="F80" i="68"/>
  <c r="Y80" i="68" s="1"/>
  <c r="AC87" i="66"/>
  <c r="AC93" i="66" s="1"/>
  <c r="D81" i="69"/>
  <c r="I19" i="79"/>
  <c r="J19" i="79" s="1"/>
  <c r="E14" i="64"/>
  <c r="O65" i="68"/>
  <c r="K58" i="68"/>
  <c r="J58" i="68"/>
  <c r="M58" i="79"/>
  <c r="N58" i="79" s="1"/>
  <c r="G53" i="64"/>
  <c r="K57" i="68"/>
  <c r="J57" i="68"/>
  <c r="M18" i="79"/>
  <c r="N18" i="79" s="1"/>
  <c r="G13" i="64"/>
  <c r="I18" i="79"/>
  <c r="J18" i="79" s="1"/>
  <c r="E13" i="64"/>
  <c r="M16" i="79"/>
  <c r="N16" i="79" s="1"/>
  <c r="G11" i="64"/>
  <c r="V93" i="77"/>
  <c r="J95" i="77"/>
  <c r="K88" i="79"/>
  <c r="L88" i="79" s="1"/>
  <c r="F83" i="64"/>
  <c r="M59" i="77"/>
  <c r="Q59" i="77" s="1"/>
  <c r="K37" i="68"/>
  <c r="J37" i="68"/>
  <c r="I88" i="79"/>
  <c r="J88" i="79" s="1"/>
  <c r="E83" i="64"/>
  <c r="I11" i="79"/>
  <c r="J11" i="79" s="1"/>
  <c r="E6" i="64"/>
  <c r="M56" i="79"/>
  <c r="N56" i="79" s="1"/>
  <c r="G51" i="64"/>
  <c r="M22" i="68"/>
  <c r="M42" i="68"/>
  <c r="M43" i="79"/>
  <c r="N43" i="79" s="1"/>
  <c r="G38" i="64"/>
  <c r="M86" i="79"/>
  <c r="N86" i="79" s="1"/>
  <c r="G81" i="64"/>
  <c r="O47" i="79"/>
  <c r="P47" i="79" s="1"/>
  <c r="H42" i="64"/>
  <c r="J46" i="68"/>
  <c r="K46" i="68"/>
  <c r="E132" i="78"/>
  <c r="G124" i="78"/>
  <c r="C74" i="64"/>
  <c r="N80" i="67" s="1"/>
  <c r="AI76" i="77"/>
  <c r="L91" i="77"/>
  <c r="J76" i="68"/>
  <c r="K76" i="68"/>
  <c r="L95" i="77"/>
  <c r="AI93" i="77"/>
  <c r="M50" i="68"/>
  <c r="M51" i="79"/>
  <c r="N51" i="79" s="1"/>
  <c r="G46" i="64"/>
  <c r="M54" i="79"/>
  <c r="N54" i="79" s="1"/>
  <c r="G49" i="64"/>
  <c r="N91" i="68"/>
  <c r="M15" i="79"/>
  <c r="N15" i="79" s="1"/>
  <c r="G10" i="64"/>
  <c r="I89" i="79"/>
  <c r="J89" i="79" s="1"/>
  <c r="E84" i="64"/>
  <c r="M89" i="79"/>
  <c r="N89" i="79" s="1"/>
  <c r="G84" i="64"/>
  <c r="K13" i="68"/>
  <c r="J13" i="68"/>
  <c r="M43" i="68"/>
  <c r="I27" i="79"/>
  <c r="J27" i="79" s="1"/>
  <c r="E22" i="64"/>
  <c r="C93" i="68"/>
  <c r="S93" i="68" s="1"/>
  <c r="D93" i="71"/>
  <c r="F93" i="71" s="1"/>
  <c r="G93" i="71" s="1"/>
  <c r="H93" i="68"/>
  <c r="AC93" i="68" s="1"/>
  <c r="M7" i="68"/>
  <c r="O12" i="79"/>
  <c r="P12" i="79" s="1"/>
  <c r="H7" i="64"/>
  <c r="M84" i="79"/>
  <c r="N84" i="79" s="1"/>
  <c r="G79" i="64"/>
  <c r="AI11" i="77"/>
  <c r="V11" i="77"/>
  <c r="M30" i="68"/>
  <c r="H6" i="68"/>
  <c r="AF87" i="66"/>
  <c r="AF93" i="66" s="1"/>
  <c r="E6" i="68"/>
  <c r="Z87" i="66"/>
  <c r="Z93" i="66" s="1"/>
  <c r="I34" i="79"/>
  <c r="J34" i="79" s="1"/>
  <c r="E29" i="64"/>
  <c r="M33" i="68"/>
  <c r="I20" i="79"/>
  <c r="J20" i="79" s="1"/>
  <c r="E15" i="64"/>
  <c r="M20" i="79"/>
  <c r="N20" i="79" s="1"/>
  <c r="G15" i="64"/>
  <c r="M34" i="68"/>
  <c r="M35" i="79"/>
  <c r="N35" i="79" s="1"/>
  <c r="G30" i="64"/>
  <c r="I30" i="79"/>
  <c r="J30" i="79" s="1"/>
  <c r="E25" i="64"/>
  <c r="M30" i="79"/>
  <c r="N30" i="79" s="1"/>
  <c r="G25" i="64"/>
  <c r="I26" i="79"/>
  <c r="J26" i="79" s="1"/>
  <c r="E21" i="64"/>
  <c r="I24" i="79"/>
  <c r="J24" i="79" s="1"/>
  <c r="E19" i="64"/>
  <c r="O55" i="79"/>
  <c r="P55" i="79" s="1"/>
  <c r="H50" i="64"/>
  <c r="C79" i="72"/>
  <c r="C101" i="72" s="1"/>
  <c r="E7" i="72"/>
  <c r="K27" i="68"/>
  <c r="J27" i="68"/>
  <c r="I83" i="79"/>
  <c r="J83" i="79" s="1"/>
  <c r="E78" i="64"/>
  <c r="M10" i="79"/>
  <c r="N10" i="79" s="1"/>
  <c r="G5" i="64"/>
  <c r="M9" i="68"/>
  <c r="K21" i="68"/>
  <c r="J21" i="68"/>
  <c r="J91" i="77"/>
  <c r="V76" i="77"/>
  <c r="I80" i="68"/>
  <c r="AI87" i="66"/>
  <c r="AI93" i="66" s="1"/>
  <c r="D81" i="71"/>
  <c r="AP87" i="66"/>
  <c r="AP93" i="66" s="1"/>
  <c r="D102" i="71" s="1"/>
  <c r="M19" i="79"/>
  <c r="N19" i="79" s="1"/>
  <c r="G14" i="64"/>
  <c r="M39" i="79"/>
  <c r="N39" i="79" s="1"/>
  <c r="G34" i="64"/>
  <c r="O18" i="79"/>
  <c r="P18" i="79" s="1"/>
  <c r="H13" i="64"/>
  <c r="O48" i="68"/>
  <c r="N87" i="68"/>
  <c r="M51" i="68"/>
  <c r="G37" i="79"/>
  <c r="H37" i="79" s="1"/>
  <c r="Q37" i="79" s="1"/>
  <c r="D32" i="64"/>
  <c r="M32" i="64" s="1"/>
  <c r="M15" i="68"/>
  <c r="I16" i="79"/>
  <c r="J16" i="79" s="1"/>
  <c r="E11" i="64"/>
  <c r="L74" i="77"/>
  <c r="AI2" i="77"/>
  <c r="M38" i="79"/>
  <c r="N38" i="79" s="1"/>
  <c r="G33" i="64"/>
  <c r="L87" i="68"/>
  <c r="J87" i="68"/>
  <c r="M52" i="79"/>
  <c r="N52" i="79" s="1"/>
  <c r="G47" i="64"/>
  <c r="M10" i="68"/>
  <c r="M11" i="79"/>
  <c r="N11" i="79" s="1"/>
  <c r="G6" i="64"/>
  <c r="M50" i="79"/>
  <c r="N50" i="79" s="1"/>
  <c r="G45" i="64"/>
  <c r="O56" i="79"/>
  <c r="P56" i="79" s="1"/>
  <c r="H51" i="64"/>
  <c r="M41" i="68"/>
  <c r="K41" i="68"/>
  <c r="J41" i="68"/>
  <c r="M59" i="68"/>
  <c r="K59" i="68"/>
  <c r="J59" i="68"/>
  <c r="I43" i="79"/>
  <c r="J43" i="79" s="1"/>
  <c r="E38" i="64"/>
  <c r="I86" i="79"/>
  <c r="J86" i="79" s="1"/>
  <c r="E81" i="64"/>
  <c r="I48" i="79"/>
  <c r="J48" i="79" s="1"/>
  <c r="E43" i="64"/>
  <c r="M46" i="68"/>
  <c r="Q79" i="67"/>
  <c r="M90" i="79"/>
  <c r="N90" i="79" s="1"/>
  <c r="G85" i="64"/>
  <c r="M85" i="64" s="1"/>
  <c r="M35" i="68"/>
  <c r="M36" i="79"/>
  <c r="N36" i="79" s="1"/>
  <c r="G31" i="64"/>
  <c r="I51" i="79"/>
  <c r="J51" i="79" s="1"/>
  <c r="E46" i="64"/>
  <c r="K53" i="68"/>
  <c r="J53" i="68"/>
  <c r="M53" i="68"/>
  <c r="I92" i="79"/>
  <c r="J92" i="79" s="1"/>
  <c r="E87" i="64"/>
  <c r="K92" i="79"/>
  <c r="L92" i="79" s="1"/>
  <c r="F87" i="64"/>
  <c r="M39" i="68"/>
  <c r="I40" i="79"/>
  <c r="J40" i="79" s="1"/>
  <c r="E35" i="64"/>
  <c r="I15" i="79"/>
  <c r="J15" i="79" s="1"/>
  <c r="E10" i="64"/>
  <c r="M14" i="68"/>
  <c r="J88" i="68"/>
  <c r="L88" i="68"/>
  <c r="O14" i="79"/>
  <c r="P14" i="79" s="1"/>
  <c r="H9" i="64"/>
  <c r="M13" i="68"/>
  <c r="M44" i="79"/>
  <c r="N44" i="79" s="1"/>
  <c r="G39" i="64"/>
  <c r="D93" i="68"/>
  <c r="U93" i="68" s="1"/>
  <c r="C94" i="69"/>
  <c r="D94" i="69" s="1"/>
  <c r="F93" i="68"/>
  <c r="Y93" i="68" s="1"/>
  <c r="I8" i="79"/>
  <c r="J8" i="79" s="1"/>
  <c r="E3" i="64"/>
  <c r="M12" i="79"/>
  <c r="N12" i="79" s="1"/>
  <c r="G7" i="64"/>
  <c r="M11" i="68"/>
  <c r="I84" i="79"/>
  <c r="J84" i="79" s="1"/>
  <c r="E79" i="64"/>
  <c r="K84" i="79"/>
  <c r="L84" i="79" s="1"/>
  <c r="F79" i="64"/>
  <c r="I32" i="79"/>
  <c r="J32" i="79" s="1"/>
  <c r="E27" i="64"/>
  <c r="J31" i="68"/>
  <c r="K31" i="68"/>
  <c r="M31" i="79"/>
  <c r="N31" i="79" s="1"/>
  <c r="G26" i="64"/>
  <c r="J102" i="78"/>
  <c r="J104" i="78" s="1"/>
  <c r="J112" i="67"/>
  <c r="J104" i="67"/>
  <c r="I6" i="68"/>
  <c r="AH87" i="66"/>
  <c r="AH93" i="66" s="1"/>
  <c r="G6" i="68"/>
  <c r="AD87" i="66"/>
  <c r="AD93" i="66" s="1"/>
  <c r="C99" i="71"/>
  <c r="E97" i="71"/>
  <c r="C100" i="69"/>
  <c r="D98" i="69"/>
  <c r="K19" i="68"/>
  <c r="J19" i="68"/>
  <c r="C110" i="72"/>
  <c r="I35" i="79"/>
  <c r="J35" i="79" s="1"/>
  <c r="E30" i="64"/>
  <c r="M26" i="79"/>
  <c r="N26" i="79" s="1"/>
  <c r="G21" i="64"/>
  <c r="M71" i="77"/>
  <c r="Q71" i="77" s="1"/>
  <c r="J23" i="68"/>
  <c r="K23" i="68"/>
  <c r="I55" i="79"/>
  <c r="J55" i="79" s="1"/>
  <c r="E50" i="64"/>
  <c r="F79" i="71"/>
  <c r="O96" i="79"/>
  <c r="P81" i="79"/>
  <c r="M27" i="68"/>
  <c r="N82" i="68"/>
  <c r="M83" i="79"/>
  <c r="N83" i="79" s="1"/>
  <c r="G78" i="64"/>
  <c r="K9" i="68"/>
  <c r="J9" i="68"/>
  <c r="M22" i="79"/>
  <c r="N22" i="79" s="1"/>
  <c r="G17" i="64"/>
  <c r="I22" i="79"/>
  <c r="J22" i="79" s="1"/>
  <c r="E17" i="64"/>
  <c r="O72" i="68"/>
  <c r="F132" i="78"/>
  <c r="C108" i="64"/>
  <c r="H80" i="68"/>
  <c r="AG87" i="66"/>
  <c r="AG93" i="66" s="1"/>
  <c r="D80" i="68"/>
  <c r="U80" i="68" s="1"/>
  <c r="Y87" i="66"/>
  <c r="Y93" i="66" s="1"/>
  <c r="E80" i="68"/>
  <c r="W80" i="68" s="1"/>
  <c r="AA87" i="66"/>
  <c r="AA93" i="66" s="1"/>
  <c r="K18" i="68"/>
  <c r="J18" i="68"/>
  <c r="O39" i="79"/>
  <c r="P39" i="79" s="1"/>
  <c r="H34" i="64"/>
  <c r="I39" i="79"/>
  <c r="J39" i="79" s="1"/>
  <c r="E34" i="64"/>
  <c r="O74" i="68"/>
  <c r="I58" i="79"/>
  <c r="J58" i="79" s="1"/>
  <c r="E53" i="64"/>
  <c r="O58" i="79"/>
  <c r="P58" i="79" s="1"/>
  <c r="H53" i="64"/>
  <c r="K17" i="68"/>
  <c r="J17" i="68"/>
  <c r="M102" i="78"/>
  <c r="M104" i="78" s="1"/>
  <c r="M104" i="67"/>
  <c r="M112" i="67"/>
  <c r="C95" i="64"/>
  <c r="K51" i="68"/>
  <c r="J51" i="68"/>
  <c r="J15" i="68"/>
  <c r="K15" i="68"/>
  <c r="I38" i="79"/>
  <c r="J38" i="79" s="1"/>
  <c r="E33" i="64"/>
  <c r="M88" i="79"/>
  <c r="N88" i="79" s="1"/>
  <c r="G83" i="64"/>
  <c r="I52" i="79"/>
  <c r="J52" i="79" s="1"/>
  <c r="E47" i="64"/>
  <c r="O11" i="79"/>
  <c r="P11" i="79" s="1"/>
  <c r="H6" i="64"/>
  <c r="K49" i="68"/>
  <c r="J49" i="68"/>
  <c r="M49" i="68"/>
  <c r="I56" i="79"/>
  <c r="J56" i="79" s="1"/>
  <c r="E51" i="64"/>
  <c r="J55" i="68"/>
  <c r="K55" i="68"/>
  <c r="M23" i="79"/>
  <c r="N23" i="79" s="1"/>
  <c r="G18" i="64"/>
  <c r="I23" i="79"/>
  <c r="J23" i="79" s="1"/>
  <c r="E18" i="64"/>
  <c r="M45" i="68"/>
  <c r="M46" i="79"/>
  <c r="N46" i="79" s="1"/>
  <c r="G41" i="64"/>
  <c r="M42" i="79"/>
  <c r="N42" i="79" s="1"/>
  <c r="G37" i="64"/>
  <c r="M60" i="79"/>
  <c r="N60" i="79" s="1"/>
  <c r="G55" i="64"/>
  <c r="K42" i="68"/>
  <c r="J42" i="68"/>
  <c r="K86" i="79"/>
  <c r="L86" i="79" s="1"/>
  <c r="F81" i="64"/>
  <c r="M47" i="68"/>
  <c r="J47" i="68"/>
  <c r="K47" i="68"/>
  <c r="M47" i="79"/>
  <c r="N47" i="79" s="1"/>
  <c r="G42" i="64"/>
  <c r="N102" i="67"/>
  <c r="I36" i="79"/>
  <c r="J36" i="79" s="1"/>
  <c r="E31" i="64"/>
  <c r="K50" i="68"/>
  <c r="J50" i="68"/>
  <c r="I54" i="79"/>
  <c r="J54" i="79" s="1"/>
  <c r="E49" i="64"/>
  <c r="J91" i="68"/>
  <c r="L91" i="68"/>
  <c r="J14" i="68"/>
  <c r="K14" i="68"/>
  <c r="N88" i="68"/>
  <c r="M14" i="79"/>
  <c r="N14" i="79" s="1"/>
  <c r="G9" i="64"/>
  <c r="I14" i="79"/>
  <c r="J14" i="79" s="1"/>
  <c r="E9" i="64"/>
  <c r="I44" i="79"/>
  <c r="J44" i="79" s="1"/>
  <c r="E39" i="64"/>
  <c r="K26" i="68"/>
  <c r="J26" i="68"/>
  <c r="E93" i="68"/>
  <c r="W93" i="68" s="1"/>
  <c r="G93" i="68"/>
  <c r="AA93" i="68" s="1"/>
  <c r="M8" i="79"/>
  <c r="N8" i="79" s="1"/>
  <c r="G3" i="64"/>
  <c r="K11" i="68"/>
  <c r="J11" i="68"/>
  <c r="I12" i="79"/>
  <c r="J12" i="79" s="1"/>
  <c r="E7" i="64"/>
  <c r="N83" i="68"/>
  <c r="I31" i="79"/>
  <c r="J31" i="79" s="1"/>
  <c r="E26" i="64"/>
  <c r="C7" i="71"/>
  <c r="AO87" i="66"/>
  <c r="AO93" i="66" s="1"/>
  <c r="C102" i="71" s="1"/>
  <c r="D6" i="68"/>
  <c r="T6" i="68" s="1"/>
  <c r="X87" i="66"/>
  <c r="X93" i="66" s="1"/>
  <c r="AB87" i="66"/>
  <c r="AB93" i="66" s="1"/>
  <c r="F6" i="68"/>
  <c r="K33" i="68"/>
  <c r="J33" i="68"/>
  <c r="O56" i="68"/>
  <c r="K97" i="68"/>
  <c r="C99" i="68"/>
  <c r="M19" i="68"/>
  <c r="K34" i="68"/>
  <c r="J34" i="68"/>
  <c r="O30" i="79"/>
  <c r="P30" i="79" s="1"/>
  <c r="H25" i="64"/>
  <c r="M25" i="68"/>
  <c r="K25" i="68"/>
  <c r="J25" i="68"/>
  <c r="M23" i="68"/>
  <c r="M24" i="79"/>
  <c r="N24" i="79" s="1"/>
  <c r="G19" i="64"/>
  <c r="J54" i="68"/>
  <c r="K54" i="68"/>
  <c r="J74" i="77"/>
  <c r="V2" i="77"/>
  <c r="K83" i="79"/>
  <c r="L83" i="79" s="1"/>
  <c r="F78" i="64"/>
  <c r="O10" i="79"/>
  <c r="P10" i="79" s="1"/>
  <c r="H5" i="64"/>
  <c r="I10" i="79"/>
  <c r="J10" i="79" s="1"/>
  <c r="E5" i="64"/>
  <c r="C80" i="68"/>
  <c r="S80" i="68" s="1"/>
  <c r="H87" i="66"/>
  <c r="H93" i="66" s="1"/>
  <c r="G80" i="68"/>
  <c r="AE87" i="66"/>
  <c r="AE93" i="66" s="1"/>
  <c r="C81" i="70"/>
  <c r="BG87" i="66"/>
  <c r="BG93" i="66" s="1"/>
  <c r="C106" i="70" s="1"/>
  <c r="M18" i="68"/>
  <c r="J38" i="68"/>
  <c r="K38" i="68"/>
  <c r="I59" i="79"/>
  <c r="J59" i="79" s="1"/>
  <c r="E54" i="64"/>
  <c r="M57" i="68"/>
  <c r="M17" i="68"/>
  <c r="R106" i="68" l="1"/>
  <c r="L70" i="39" s="1"/>
  <c r="J97" i="77"/>
  <c r="J99" i="77" s="1"/>
  <c r="S94" i="68"/>
  <c r="S101" i="68" s="1"/>
  <c r="D56" i="64"/>
  <c r="M56" i="64" s="1"/>
  <c r="M56" i="77" s="1"/>
  <c r="Q56" i="77" s="1"/>
  <c r="C97" i="64"/>
  <c r="C98" i="64" s="1"/>
  <c r="G71" i="79"/>
  <c r="H71" i="79" s="1"/>
  <c r="Q71" i="79" s="1"/>
  <c r="L97" i="77"/>
  <c r="L99" i="77" s="1"/>
  <c r="O38" i="68"/>
  <c r="G39" i="79" s="1"/>
  <c r="H39" i="79" s="1"/>
  <c r="Q39" i="79" s="1"/>
  <c r="Q90" i="79"/>
  <c r="W77" i="77"/>
  <c r="T77" i="77" s="1"/>
  <c r="AA77" i="77"/>
  <c r="W94" i="68"/>
  <c r="Y77" i="77"/>
  <c r="R77" i="77"/>
  <c r="X77" i="77"/>
  <c r="Z77" i="77"/>
  <c r="E78" i="68"/>
  <c r="V6" i="68"/>
  <c r="V78" i="68" s="1"/>
  <c r="T78" i="68"/>
  <c r="T101" i="68" s="1"/>
  <c r="D24" i="64"/>
  <c r="M24" i="64" s="1"/>
  <c r="M24" i="77" s="1"/>
  <c r="Q24" i="77" s="1"/>
  <c r="I78" i="68"/>
  <c r="AD6" i="68"/>
  <c r="AD78" i="68" s="1"/>
  <c r="F78" i="68"/>
  <c r="X6" i="68"/>
  <c r="X78" i="68" s="1"/>
  <c r="G78" i="68"/>
  <c r="Z6" i="68"/>
  <c r="Z78" i="68" s="1"/>
  <c r="H78" i="68"/>
  <c r="AB6" i="68"/>
  <c r="AB78" i="68" s="1"/>
  <c r="V106" i="68"/>
  <c r="S70" i="39" s="1"/>
  <c r="U70" i="39" s="1"/>
  <c r="V107" i="68"/>
  <c r="S71" i="39" s="1"/>
  <c r="U71" i="39" s="1"/>
  <c r="U94" i="68"/>
  <c r="U101" i="68" s="1"/>
  <c r="Y94" i="68"/>
  <c r="U107" i="68"/>
  <c r="R71" i="39" s="1"/>
  <c r="O50" i="68"/>
  <c r="G51" i="79" s="1"/>
  <c r="H51" i="79" s="1"/>
  <c r="Q51" i="79" s="1"/>
  <c r="D69" i="64"/>
  <c r="M69" i="64" s="1"/>
  <c r="M69" i="77" s="1"/>
  <c r="Q69" i="77" s="1"/>
  <c r="W99" i="68"/>
  <c r="V97" i="68"/>
  <c r="V99" i="68" s="1"/>
  <c r="M97" i="68"/>
  <c r="M99" i="68" s="1"/>
  <c r="Y99" i="68"/>
  <c r="X97" i="68"/>
  <c r="X99" i="68" s="1"/>
  <c r="AC99" i="68"/>
  <c r="AB97" i="68"/>
  <c r="AB99" i="68" s="1"/>
  <c r="AE99" i="68"/>
  <c r="AD97" i="68"/>
  <c r="AD99" i="68" s="1"/>
  <c r="AA99" i="68"/>
  <c r="Z97" i="68"/>
  <c r="Z99" i="68" s="1"/>
  <c r="F99" i="68"/>
  <c r="H99" i="68"/>
  <c r="O100" i="79"/>
  <c r="G62" i="79"/>
  <c r="H62" i="79" s="1"/>
  <c r="Q62" i="79" s="1"/>
  <c r="J97" i="68"/>
  <c r="J99" i="68" s="1"/>
  <c r="E99" i="68"/>
  <c r="I99" i="68"/>
  <c r="G99" i="68"/>
  <c r="O29" i="68"/>
  <c r="G30" i="79" s="1"/>
  <c r="H30" i="79" s="1"/>
  <c r="Q30" i="79" s="1"/>
  <c r="O9" i="68"/>
  <c r="D5" i="64" s="1"/>
  <c r="M5" i="64" s="1"/>
  <c r="O14" i="68"/>
  <c r="G15" i="79" s="1"/>
  <c r="H15" i="79" s="1"/>
  <c r="Q15" i="79" s="1"/>
  <c r="O42" i="68"/>
  <c r="G43" i="79" s="1"/>
  <c r="H43" i="79" s="1"/>
  <c r="Q43" i="79" s="1"/>
  <c r="D62" i="64"/>
  <c r="M62" i="64" s="1"/>
  <c r="M62" i="77" s="1"/>
  <c r="Q62" i="77" s="1"/>
  <c r="D48" i="64"/>
  <c r="M48" i="64" s="1"/>
  <c r="M48" i="77" s="1"/>
  <c r="Q48" i="77" s="1"/>
  <c r="D58" i="64"/>
  <c r="M58" i="64" s="1"/>
  <c r="M58" i="77" s="1"/>
  <c r="Q58" i="77" s="1"/>
  <c r="O11" i="68"/>
  <c r="D7" i="64" s="1"/>
  <c r="M7" i="64" s="1"/>
  <c r="O51" i="68"/>
  <c r="D47" i="64" s="1"/>
  <c r="M47" i="64" s="1"/>
  <c r="D36" i="64"/>
  <c r="M36" i="64" s="1"/>
  <c r="M36" i="77" s="1"/>
  <c r="Q36" i="77" s="1"/>
  <c r="D64" i="64"/>
  <c r="M64" i="64" s="1"/>
  <c r="M64" i="77" s="1"/>
  <c r="Q64" i="77" s="1"/>
  <c r="O37" i="68"/>
  <c r="D33" i="64" s="1"/>
  <c r="M33" i="64" s="1"/>
  <c r="O26" i="68"/>
  <c r="D22" i="64" s="1"/>
  <c r="M22" i="64" s="1"/>
  <c r="O76" i="68"/>
  <c r="G77" i="79" s="1"/>
  <c r="H77" i="79" s="1"/>
  <c r="Q77" i="79" s="1"/>
  <c r="O91" i="68"/>
  <c r="G92" i="79" s="1"/>
  <c r="H92" i="79" s="1"/>
  <c r="Q92" i="79" s="1"/>
  <c r="O58" i="68"/>
  <c r="G59" i="79" s="1"/>
  <c r="H59" i="79" s="1"/>
  <c r="Q59" i="79" s="1"/>
  <c r="O25" i="68"/>
  <c r="G26" i="79" s="1"/>
  <c r="H26" i="79" s="1"/>
  <c r="Q26" i="79" s="1"/>
  <c r="O33" i="68"/>
  <c r="D29" i="64" s="1"/>
  <c r="M29" i="64" s="1"/>
  <c r="G65" i="79"/>
  <c r="H65" i="79" s="1"/>
  <c r="Q65" i="79" s="1"/>
  <c r="O49" i="68"/>
  <c r="D45" i="64" s="1"/>
  <c r="M45" i="64" s="1"/>
  <c r="O59" i="68"/>
  <c r="D55" i="64" s="1"/>
  <c r="M55" i="64" s="1"/>
  <c r="H95" i="68"/>
  <c r="AC80" i="68"/>
  <c r="O34" i="68"/>
  <c r="G35" i="79" s="1"/>
  <c r="H35" i="79" s="1"/>
  <c r="Q35" i="79" s="1"/>
  <c r="O55" i="68"/>
  <c r="G56" i="79" s="1"/>
  <c r="H56" i="79" s="1"/>
  <c r="Q56" i="79" s="1"/>
  <c r="O15" i="68"/>
  <c r="G16" i="79" s="1"/>
  <c r="H16" i="79" s="1"/>
  <c r="Q16" i="79" s="1"/>
  <c r="O31" i="68"/>
  <c r="G32" i="79" s="1"/>
  <c r="H32" i="79" s="1"/>
  <c r="Q32" i="79" s="1"/>
  <c r="O21" i="68"/>
  <c r="G22" i="79" s="1"/>
  <c r="H22" i="79" s="1"/>
  <c r="Q22" i="79" s="1"/>
  <c r="O85" i="68"/>
  <c r="G86" i="79" s="1"/>
  <c r="H86" i="79" s="1"/>
  <c r="Q86" i="79" s="1"/>
  <c r="G95" i="68"/>
  <c r="AA80" i="68"/>
  <c r="AA94" i="68" s="1"/>
  <c r="O54" i="68"/>
  <c r="D50" i="64" s="1"/>
  <c r="M50" i="64" s="1"/>
  <c r="F103" i="68"/>
  <c r="O41" i="68"/>
  <c r="G42" i="79" s="1"/>
  <c r="H42" i="79" s="1"/>
  <c r="Q42" i="79" s="1"/>
  <c r="O87" i="68"/>
  <c r="D83" i="64" s="1"/>
  <c r="M83" i="64" s="1"/>
  <c r="I95" i="68"/>
  <c r="AE80" i="68"/>
  <c r="C99" i="64"/>
  <c r="D81" i="70"/>
  <c r="C96" i="70"/>
  <c r="C102" i="70" s="1"/>
  <c r="C107" i="70" s="1"/>
  <c r="G75" i="79"/>
  <c r="H75" i="79" s="1"/>
  <c r="Q75" i="79" s="1"/>
  <c r="D70" i="64"/>
  <c r="M70" i="64" s="1"/>
  <c r="R71" i="77"/>
  <c r="Y71" i="77"/>
  <c r="AB71" i="77"/>
  <c r="W71" i="77"/>
  <c r="Z71" i="77"/>
  <c r="X71" i="77"/>
  <c r="AA71" i="77"/>
  <c r="I94" i="79"/>
  <c r="J94" i="79" s="1"/>
  <c r="E89" i="64"/>
  <c r="E108" i="64" s="1"/>
  <c r="M85" i="77"/>
  <c r="Q85" i="77" s="1"/>
  <c r="M32" i="77"/>
  <c r="Q32" i="77" s="1"/>
  <c r="R12" i="77"/>
  <c r="Z12" i="77"/>
  <c r="AA12" i="77"/>
  <c r="Y12" i="77"/>
  <c r="W12" i="77"/>
  <c r="AB12" i="77"/>
  <c r="X12" i="77"/>
  <c r="R20" i="77"/>
  <c r="Z20" i="77"/>
  <c r="AA20" i="77"/>
  <c r="Y20" i="77"/>
  <c r="W20" i="77"/>
  <c r="AB20" i="77"/>
  <c r="X20" i="77"/>
  <c r="G132" i="78"/>
  <c r="R59" i="77"/>
  <c r="X59" i="77"/>
  <c r="Y59" i="77"/>
  <c r="AA59" i="77"/>
  <c r="AB59" i="77"/>
  <c r="W59" i="77"/>
  <c r="Z59" i="77"/>
  <c r="I81" i="79"/>
  <c r="D96" i="69"/>
  <c r="E76" i="64"/>
  <c r="O82" i="68"/>
  <c r="C103" i="72"/>
  <c r="G91" i="79"/>
  <c r="H91" i="79" s="1"/>
  <c r="Q91" i="79" s="1"/>
  <c r="D86" i="64"/>
  <c r="M86" i="64" s="1"/>
  <c r="C78" i="68"/>
  <c r="J6" i="68"/>
  <c r="J78" i="68" s="1"/>
  <c r="K6" i="68"/>
  <c r="R82" i="77"/>
  <c r="AA82" i="77"/>
  <c r="X82" i="77"/>
  <c r="AB82" i="77"/>
  <c r="W82" i="77"/>
  <c r="Z82" i="77"/>
  <c r="Y82" i="77"/>
  <c r="K94" i="79"/>
  <c r="L94" i="79" s="1"/>
  <c r="F89" i="64"/>
  <c r="F108" i="64" s="1"/>
  <c r="O39" i="68"/>
  <c r="O45" i="68"/>
  <c r="R8" i="77"/>
  <c r="X8" i="77"/>
  <c r="Z8" i="77"/>
  <c r="W8" i="77"/>
  <c r="Y8" i="77"/>
  <c r="AA8" i="77"/>
  <c r="AB8" i="77"/>
  <c r="J80" i="68"/>
  <c r="L80" i="68"/>
  <c r="C95" i="68"/>
  <c r="V74" i="77"/>
  <c r="G57" i="79"/>
  <c r="H57" i="79" s="1"/>
  <c r="Q57" i="79" s="1"/>
  <c r="D52" i="64"/>
  <c r="M52" i="64" s="1"/>
  <c r="E95" i="68"/>
  <c r="P96" i="79"/>
  <c r="O23" i="68"/>
  <c r="I98" i="79"/>
  <c r="D100" i="69"/>
  <c r="E93" i="64" s="1"/>
  <c r="E95" i="64" s="1"/>
  <c r="I103" i="68"/>
  <c r="G49" i="79"/>
  <c r="H49" i="79" s="1"/>
  <c r="Q49" i="79" s="1"/>
  <c r="D44" i="64"/>
  <c r="M44" i="64" s="1"/>
  <c r="V91" i="77"/>
  <c r="E79" i="72"/>
  <c r="E101" i="72" s="1"/>
  <c r="E123" i="72" s="1"/>
  <c r="G7" i="72"/>
  <c r="E103" i="68"/>
  <c r="L93" i="68"/>
  <c r="J93" i="68"/>
  <c r="O13" i="68"/>
  <c r="O46" i="68"/>
  <c r="R80" i="77"/>
  <c r="AB80" i="77"/>
  <c r="Z80" i="77"/>
  <c r="Y80" i="77"/>
  <c r="X80" i="77"/>
  <c r="AA80" i="77"/>
  <c r="W80" i="77"/>
  <c r="V95" i="77"/>
  <c r="C96" i="69"/>
  <c r="R63" i="77"/>
  <c r="AA63" i="77"/>
  <c r="AB63" i="77"/>
  <c r="Y63" i="77"/>
  <c r="W63" i="77"/>
  <c r="Z63" i="77"/>
  <c r="X63" i="77"/>
  <c r="G45" i="79"/>
  <c r="H45" i="79" s="1"/>
  <c r="Q45" i="79" s="1"/>
  <c r="D40" i="64"/>
  <c r="M40" i="64" s="1"/>
  <c r="O30" i="68"/>
  <c r="O83" i="68"/>
  <c r="O7" i="68"/>
  <c r="R67" i="77"/>
  <c r="X67" i="77"/>
  <c r="W67" i="77"/>
  <c r="Z67" i="77"/>
  <c r="AB67" i="77"/>
  <c r="Y67" i="77"/>
  <c r="AA67" i="77"/>
  <c r="R16" i="77"/>
  <c r="Y16" i="77"/>
  <c r="W16" i="77"/>
  <c r="AB16" i="77"/>
  <c r="X16" i="77"/>
  <c r="Z16" i="77"/>
  <c r="AA16" i="77"/>
  <c r="C79" i="71"/>
  <c r="C101" i="71" s="1"/>
  <c r="C103" i="71" s="1"/>
  <c r="E7" i="71"/>
  <c r="N103" i="67"/>
  <c r="C117" i="64"/>
  <c r="O17" i="68"/>
  <c r="O18" i="68"/>
  <c r="G73" i="79"/>
  <c r="H73" i="79" s="1"/>
  <c r="Q73" i="79" s="1"/>
  <c r="D68" i="64"/>
  <c r="M68" i="64" s="1"/>
  <c r="N93" i="68"/>
  <c r="O88" i="68"/>
  <c r="O53" i="68"/>
  <c r="M66" i="77"/>
  <c r="Q66" i="77" s="1"/>
  <c r="D95" i="71"/>
  <c r="D101" i="71" s="1"/>
  <c r="D103" i="71" s="1"/>
  <c r="F81" i="71"/>
  <c r="O57" i="68"/>
  <c r="C79" i="69"/>
  <c r="D7" i="69"/>
  <c r="M28" i="77"/>
  <c r="Q28" i="77" s="1"/>
  <c r="O22" i="68"/>
  <c r="M6" i="68"/>
  <c r="M78" i="68" s="1"/>
  <c r="D78" i="68"/>
  <c r="P100" i="79"/>
  <c r="K99" i="68"/>
  <c r="D103" i="68"/>
  <c r="O47" i="68"/>
  <c r="R4" i="77"/>
  <c r="Y4" i="77"/>
  <c r="W4" i="77"/>
  <c r="Z4" i="77"/>
  <c r="AB4" i="77"/>
  <c r="X4" i="77"/>
  <c r="AA4" i="77"/>
  <c r="D95" i="68"/>
  <c r="N80" i="68"/>
  <c r="O19" i="68"/>
  <c r="E99" i="71"/>
  <c r="G97" i="71"/>
  <c r="G103" i="68"/>
  <c r="M57" i="77"/>
  <c r="Q57" i="77" s="1"/>
  <c r="O27" i="68"/>
  <c r="H103" i="68"/>
  <c r="M94" i="79"/>
  <c r="N94" i="79" s="1"/>
  <c r="G89" i="64"/>
  <c r="G108" i="64" s="1"/>
  <c r="M60" i="77"/>
  <c r="Q60" i="77" s="1"/>
  <c r="G66" i="79"/>
  <c r="H66" i="79" s="1"/>
  <c r="Q66" i="79" s="1"/>
  <c r="D61" i="64"/>
  <c r="M61" i="64" s="1"/>
  <c r="F95" i="68"/>
  <c r="C103" i="68"/>
  <c r="O43" i="68"/>
  <c r="O35" i="68"/>
  <c r="O10" i="68"/>
  <c r="M65" i="77"/>
  <c r="Q65" i="77" s="1"/>
  <c r="C137" i="64" l="1"/>
  <c r="N117" i="67" s="1"/>
  <c r="G10" i="79"/>
  <c r="H10" i="79" s="1"/>
  <c r="Q10" i="79" s="1"/>
  <c r="S107" i="68"/>
  <c r="M71" i="39" s="1"/>
  <c r="R107" i="68"/>
  <c r="L71" i="39" s="1"/>
  <c r="S106" i="68"/>
  <c r="M70" i="39" s="1"/>
  <c r="D25" i="64"/>
  <c r="M25" i="64" s="1"/>
  <c r="D34" i="64"/>
  <c r="M34" i="64" s="1"/>
  <c r="M34" i="77" s="1"/>
  <c r="Q34" i="77" s="1"/>
  <c r="N77" i="64"/>
  <c r="P77" i="64" s="1"/>
  <c r="AJ77" i="64" s="1"/>
  <c r="F101" i="68"/>
  <c r="F104" i="68" s="1"/>
  <c r="O97" i="68"/>
  <c r="O99" i="68" s="1"/>
  <c r="M101" i="68"/>
  <c r="D46" i="64"/>
  <c r="M46" i="64" s="1"/>
  <c r="M46" i="77" s="1"/>
  <c r="Q46" i="77" s="1"/>
  <c r="E101" i="68"/>
  <c r="E102" i="68" s="1"/>
  <c r="AE94" i="68"/>
  <c r="AE101" i="68" s="1"/>
  <c r="AC94" i="68"/>
  <c r="AC101" i="68" s="1"/>
  <c r="U112" i="68"/>
  <c r="R76" i="39" s="1"/>
  <c r="AD101" i="68"/>
  <c r="U109" i="68"/>
  <c r="R73" i="39" s="1"/>
  <c r="X101" i="68"/>
  <c r="U108" i="68"/>
  <c r="R72" i="39" s="1"/>
  <c r="V101" i="68"/>
  <c r="H101" i="68"/>
  <c r="H102" i="68" s="1"/>
  <c r="V112" i="68"/>
  <c r="S76" i="39" s="1"/>
  <c r="U76" i="39" s="1"/>
  <c r="V109" i="68"/>
  <c r="S73" i="39" s="1"/>
  <c r="U73" i="39" s="1"/>
  <c r="Y101" i="68"/>
  <c r="V108" i="68"/>
  <c r="S72" i="39" s="1"/>
  <c r="U72" i="39" s="1"/>
  <c r="W101" i="68"/>
  <c r="U110" i="68"/>
  <c r="R74" i="39" s="1"/>
  <c r="Z101" i="68"/>
  <c r="U111" i="68"/>
  <c r="R75" i="39" s="1"/>
  <c r="AB101" i="68"/>
  <c r="G101" i="68"/>
  <c r="G102" i="68" s="1"/>
  <c r="V110" i="68"/>
  <c r="S74" i="39" s="1"/>
  <c r="U74" i="39" s="1"/>
  <c r="AA101" i="68"/>
  <c r="V111" i="68"/>
  <c r="S75" i="39" s="1"/>
  <c r="U75" i="39" s="1"/>
  <c r="C101" i="68"/>
  <c r="D51" i="64"/>
  <c r="M51" i="64" s="1"/>
  <c r="M51" i="77" s="1"/>
  <c r="Q51" i="77" s="1"/>
  <c r="G27" i="79"/>
  <c r="H27" i="79" s="1"/>
  <c r="Q27" i="79" s="1"/>
  <c r="D54" i="64"/>
  <c r="M54" i="64" s="1"/>
  <c r="M54" i="77" s="1"/>
  <c r="Q54" i="77" s="1"/>
  <c r="D10" i="64"/>
  <c r="M10" i="64" s="1"/>
  <c r="M10" i="77" s="1"/>
  <c r="Q10" i="77" s="1"/>
  <c r="R110" i="68"/>
  <c r="L74" i="39" s="1"/>
  <c r="I101" i="68"/>
  <c r="I102" i="68" s="1"/>
  <c r="D11" i="64"/>
  <c r="M11" i="64" s="1"/>
  <c r="M11" i="77" s="1"/>
  <c r="Q11" i="77" s="1"/>
  <c r="G50" i="79"/>
  <c r="H50" i="79" s="1"/>
  <c r="Q50" i="79" s="1"/>
  <c r="D21" i="64"/>
  <c r="M21" i="64" s="1"/>
  <c r="M21" i="77" s="1"/>
  <c r="Q21" i="77" s="1"/>
  <c r="D72" i="64"/>
  <c r="M72" i="64" s="1"/>
  <c r="G12" i="79"/>
  <c r="H12" i="79" s="1"/>
  <c r="Q12" i="79" s="1"/>
  <c r="D81" i="64"/>
  <c r="M81" i="64" s="1"/>
  <c r="M81" i="77" s="1"/>
  <c r="Q81" i="77" s="1"/>
  <c r="D101" i="68"/>
  <c r="D102" i="68" s="1"/>
  <c r="G52" i="79"/>
  <c r="H52" i="79" s="1"/>
  <c r="Q52" i="79" s="1"/>
  <c r="G34" i="79"/>
  <c r="H34" i="79" s="1"/>
  <c r="Q34" i="79" s="1"/>
  <c r="G38" i="79"/>
  <c r="H38" i="79" s="1"/>
  <c r="Q38" i="79" s="1"/>
  <c r="D87" i="64"/>
  <c r="M87" i="64" s="1"/>
  <c r="M87" i="77" s="1"/>
  <c r="Q87" i="77" s="1"/>
  <c r="D38" i="64"/>
  <c r="M38" i="64" s="1"/>
  <c r="M38" i="77" s="1"/>
  <c r="Q38" i="77" s="1"/>
  <c r="G88" i="79"/>
  <c r="H88" i="79" s="1"/>
  <c r="Q88" i="79" s="1"/>
  <c r="G60" i="79"/>
  <c r="H60" i="79" s="1"/>
  <c r="Q60" i="79" s="1"/>
  <c r="D30" i="64"/>
  <c r="M30" i="64" s="1"/>
  <c r="M30" i="77" s="1"/>
  <c r="Q30" i="77" s="1"/>
  <c r="D17" i="64"/>
  <c r="M17" i="64" s="1"/>
  <c r="M17" i="77" s="1"/>
  <c r="Q17" i="77" s="1"/>
  <c r="G55" i="79"/>
  <c r="H55" i="79" s="1"/>
  <c r="Q55" i="79" s="1"/>
  <c r="O93" i="68"/>
  <c r="G94" i="79" s="1"/>
  <c r="H94" i="79" s="1"/>
  <c r="Q94" i="79" s="1"/>
  <c r="D37" i="64"/>
  <c r="M37" i="64" s="1"/>
  <c r="M37" i="77" s="1"/>
  <c r="Q37" i="77" s="1"/>
  <c r="D27" i="64"/>
  <c r="M27" i="64" s="1"/>
  <c r="M27" i="77" s="1"/>
  <c r="Q27" i="77" s="1"/>
  <c r="C102" i="69"/>
  <c r="C104" i="69" s="1"/>
  <c r="N95" i="68"/>
  <c r="N101" i="68" s="1"/>
  <c r="G28" i="79"/>
  <c r="H28" i="79" s="1"/>
  <c r="Q28" i="79" s="1"/>
  <c r="D23" i="64"/>
  <c r="M23" i="64" s="1"/>
  <c r="G20" i="79"/>
  <c r="H20" i="79" s="1"/>
  <c r="Q20" i="79" s="1"/>
  <c r="D15" i="64"/>
  <c r="M15" i="64" s="1"/>
  <c r="T4" i="77"/>
  <c r="N4" i="64"/>
  <c r="P4" i="64" s="1"/>
  <c r="G11" i="79"/>
  <c r="H11" i="79" s="1"/>
  <c r="Q11" i="79" s="1"/>
  <c r="D6" i="64"/>
  <c r="M6" i="64" s="1"/>
  <c r="G48" i="79"/>
  <c r="H48" i="79" s="1"/>
  <c r="Q48" i="79" s="1"/>
  <c r="D43" i="64"/>
  <c r="M43" i="64" s="1"/>
  <c r="M22" i="77"/>
  <c r="Q22" i="77" s="1"/>
  <c r="G36" i="79"/>
  <c r="H36" i="79" s="1"/>
  <c r="Q36" i="79" s="1"/>
  <c r="D31" i="64"/>
  <c r="M31" i="64" s="1"/>
  <c r="M61" i="77"/>
  <c r="Q61" i="77" s="1"/>
  <c r="R60" i="77"/>
  <c r="AB60" i="77"/>
  <c r="X60" i="77"/>
  <c r="Y60" i="77"/>
  <c r="W60" i="77"/>
  <c r="AA60" i="77"/>
  <c r="Z60" i="77"/>
  <c r="R58" i="77"/>
  <c r="X58" i="77"/>
  <c r="AA58" i="77"/>
  <c r="AB58" i="77"/>
  <c r="W58" i="77"/>
  <c r="Z58" i="77"/>
  <c r="Y58" i="77"/>
  <c r="M98" i="79"/>
  <c r="G99" i="71"/>
  <c r="G93" i="64"/>
  <c r="G95" i="64" s="1"/>
  <c r="G23" i="79"/>
  <c r="H23" i="79" s="1"/>
  <c r="Q23" i="79" s="1"/>
  <c r="D18" i="64"/>
  <c r="M18" i="64" s="1"/>
  <c r="F95" i="71"/>
  <c r="F101" i="71" s="1"/>
  <c r="F105" i="71" s="1"/>
  <c r="G81" i="71"/>
  <c r="M55" i="77"/>
  <c r="Q55" i="77" s="1"/>
  <c r="G19" i="79"/>
  <c r="H19" i="79" s="1"/>
  <c r="Q19" i="79" s="1"/>
  <c r="D14" i="64"/>
  <c r="M14" i="64" s="1"/>
  <c r="E79" i="71"/>
  <c r="E101" i="71" s="1"/>
  <c r="E105" i="71" s="1"/>
  <c r="G7" i="71"/>
  <c r="T16" i="77"/>
  <c r="N16" i="64"/>
  <c r="P16" i="64" s="1"/>
  <c r="G8" i="79"/>
  <c r="H8" i="79" s="1"/>
  <c r="Q8" i="79" s="1"/>
  <c r="D3" i="64"/>
  <c r="M3" i="64" s="1"/>
  <c r="T63" i="77"/>
  <c r="N63" i="64"/>
  <c r="P63" i="64" s="1"/>
  <c r="R48" i="77"/>
  <c r="W48" i="77"/>
  <c r="AA48" i="77"/>
  <c r="Z48" i="77"/>
  <c r="Y48" i="77"/>
  <c r="AB48" i="77"/>
  <c r="X48" i="77"/>
  <c r="G24" i="79"/>
  <c r="H24" i="79" s="1"/>
  <c r="Q24" i="79" s="1"/>
  <c r="D19" i="64"/>
  <c r="M19" i="64" s="1"/>
  <c r="M45" i="77"/>
  <c r="Q45" i="77" s="1"/>
  <c r="R24" i="77"/>
  <c r="AB24" i="77"/>
  <c r="X24" i="77"/>
  <c r="Y24" i="77"/>
  <c r="AA24" i="77"/>
  <c r="Z24" i="77"/>
  <c r="W24" i="77"/>
  <c r="M52" i="77"/>
  <c r="Q52" i="77" s="1"/>
  <c r="L95" i="68"/>
  <c r="L101" i="68" s="1"/>
  <c r="O80" i="68"/>
  <c r="E91" i="64"/>
  <c r="T59" i="77"/>
  <c r="N59" i="64"/>
  <c r="P59" i="64" s="1"/>
  <c r="M83" i="77"/>
  <c r="Q83" i="77" s="1"/>
  <c r="R85" i="77"/>
  <c r="Z85" i="77"/>
  <c r="AA85" i="77"/>
  <c r="Y85" i="77"/>
  <c r="W85" i="77"/>
  <c r="AB85" i="77"/>
  <c r="X85" i="77"/>
  <c r="R64" i="77"/>
  <c r="Z64" i="77"/>
  <c r="W64" i="77"/>
  <c r="AA64" i="77"/>
  <c r="AB64" i="77"/>
  <c r="Y64" i="77"/>
  <c r="X64" i="77"/>
  <c r="R57" i="77"/>
  <c r="AB57" i="77"/>
  <c r="AA57" i="77"/>
  <c r="X57" i="77"/>
  <c r="Z57" i="77"/>
  <c r="Y57" i="77"/>
  <c r="W57" i="77"/>
  <c r="M7" i="77"/>
  <c r="Q7" i="77" s="1"/>
  <c r="G54" i="79"/>
  <c r="H54" i="79" s="1"/>
  <c r="Q54" i="79" s="1"/>
  <c r="D49" i="64"/>
  <c r="M49" i="64" s="1"/>
  <c r="G18" i="79"/>
  <c r="H18" i="79" s="1"/>
  <c r="Q18" i="79" s="1"/>
  <c r="D13" i="64"/>
  <c r="M13" i="64" s="1"/>
  <c r="T67" i="77"/>
  <c r="N67" i="64"/>
  <c r="P67" i="64" s="1"/>
  <c r="G84" i="79"/>
  <c r="H84" i="79" s="1"/>
  <c r="Q84" i="79" s="1"/>
  <c r="D79" i="64"/>
  <c r="M79" i="64" s="1"/>
  <c r="G47" i="79"/>
  <c r="H47" i="79" s="1"/>
  <c r="Q47" i="79" s="1"/>
  <c r="D42" i="64"/>
  <c r="M42" i="64" s="1"/>
  <c r="G14" i="79"/>
  <c r="H14" i="79" s="1"/>
  <c r="Q14" i="79" s="1"/>
  <c r="D9" i="64"/>
  <c r="M9" i="64" s="1"/>
  <c r="R69" i="77"/>
  <c r="X69" i="77"/>
  <c r="AB69" i="77"/>
  <c r="W69" i="77"/>
  <c r="Z69" i="77"/>
  <c r="AA69" i="77"/>
  <c r="Y69" i="77"/>
  <c r="M44" i="77"/>
  <c r="Q44" i="77" s="1"/>
  <c r="J95" i="68"/>
  <c r="J101" i="68" s="1"/>
  <c r="T8" i="77"/>
  <c r="N8" i="64"/>
  <c r="P8" i="64" s="1"/>
  <c r="G46" i="79"/>
  <c r="H46" i="79" s="1"/>
  <c r="Q46" i="79" s="1"/>
  <c r="D41" i="64"/>
  <c r="M41" i="64" s="1"/>
  <c r="T82" i="77"/>
  <c r="N82" i="64"/>
  <c r="P82" i="64" s="1"/>
  <c r="R56" i="77"/>
  <c r="Y56" i="77"/>
  <c r="AA56" i="77"/>
  <c r="X56" i="77"/>
  <c r="Z56" i="77"/>
  <c r="AB56" i="77"/>
  <c r="W56" i="77"/>
  <c r="M70" i="77"/>
  <c r="Q70" i="77" s="1"/>
  <c r="M25" i="77"/>
  <c r="Q25" i="77" s="1"/>
  <c r="R28" i="77"/>
  <c r="AB28" i="77"/>
  <c r="X28" i="77"/>
  <c r="Z28" i="77"/>
  <c r="AA28" i="77"/>
  <c r="Y28" i="77"/>
  <c r="W28" i="77"/>
  <c r="R36" i="77"/>
  <c r="X36" i="77"/>
  <c r="Z36" i="77"/>
  <c r="W36" i="77"/>
  <c r="Y36" i="77"/>
  <c r="AA36" i="77"/>
  <c r="AB36" i="77"/>
  <c r="G58" i="79"/>
  <c r="H58" i="79" s="1"/>
  <c r="Q58" i="79" s="1"/>
  <c r="D53" i="64"/>
  <c r="M53" i="64" s="1"/>
  <c r="G89" i="79"/>
  <c r="H89" i="79" s="1"/>
  <c r="Q89" i="79" s="1"/>
  <c r="D84" i="64"/>
  <c r="M84" i="64" s="1"/>
  <c r="M68" i="77"/>
  <c r="Q68" i="77" s="1"/>
  <c r="M47" i="77"/>
  <c r="Q47" i="77" s="1"/>
  <c r="C118" i="64"/>
  <c r="C121" i="64"/>
  <c r="M50" i="77"/>
  <c r="Q50" i="77" s="1"/>
  <c r="G31" i="79"/>
  <c r="H31" i="79" s="1"/>
  <c r="Q31" i="79" s="1"/>
  <c r="D26" i="64"/>
  <c r="M26" i="64" s="1"/>
  <c r="T80" i="77"/>
  <c r="N80" i="64"/>
  <c r="P80" i="64" s="1"/>
  <c r="O7" i="79"/>
  <c r="G79" i="72"/>
  <c r="G101" i="72" s="1"/>
  <c r="H2" i="64"/>
  <c r="H74" i="64" s="1"/>
  <c r="H97" i="64" s="1"/>
  <c r="V97" i="77"/>
  <c r="V99" i="77" s="1"/>
  <c r="M86" i="77"/>
  <c r="Q86" i="77" s="1"/>
  <c r="J81" i="79"/>
  <c r="J96" i="79" s="1"/>
  <c r="I96" i="79"/>
  <c r="R32" i="77"/>
  <c r="X32" i="77"/>
  <c r="Z32" i="77"/>
  <c r="AA32" i="77"/>
  <c r="Y32" i="77"/>
  <c r="W32" i="77"/>
  <c r="AB32" i="77"/>
  <c r="T71" i="77"/>
  <c r="N71" i="64"/>
  <c r="P71" i="64" s="1"/>
  <c r="M5" i="77"/>
  <c r="Q5" i="77" s="1"/>
  <c r="K81" i="79"/>
  <c r="D96" i="70"/>
  <c r="D102" i="70" s="1"/>
  <c r="F76" i="64"/>
  <c r="F91" i="64" s="1"/>
  <c r="F97" i="64" s="1"/>
  <c r="R65" i="77"/>
  <c r="Y65" i="77"/>
  <c r="AB65" i="77"/>
  <c r="AA65" i="77"/>
  <c r="Z65" i="77"/>
  <c r="W65" i="77"/>
  <c r="X65" i="77"/>
  <c r="G44" i="79"/>
  <c r="H44" i="79" s="1"/>
  <c r="Q44" i="79" s="1"/>
  <c r="D39" i="64"/>
  <c r="M39" i="64" s="1"/>
  <c r="M29" i="77"/>
  <c r="Q29" i="77" s="1"/>
  <c r="I7" i="79"/>
  <c r="D79" i="69"/>
  <c r="D102" i="69" s="1"/>
  <c r="E2" i="64"/>
  <c r="E74" i="64" s="1"/>
  <c r="M33" i="77"/>
  <c r="Q33" i="77" s="1"/>
  <c r="R66" i="77"/>
  <c r="AD66" i="77"/>
  <c r="X66" i="77"/>
  <c r="AB66" i="77"/>
  <c r="AA66" i="77"/>
  <c r="Z66" i="77"/>
  <c r="Y66" i="77"/>
  <c r="W66" i="77"/>
  <c r="M40" i="77"/>
  <c r="Q40" i="77" s="1"/>
  <c r="I100" i="79"/>
  <c r="J98" i="79"/>
  <c r="J100" i="79" s="1"/>
  <c r="G40" i="79"/>
  <c r="H40" i="79" s="1"/>
  <c r="Q40" i="79" s="1"/>
  <c r="D35" i="64"/>
  <c r="M35" i="64" s="1"/>
  <c r="K78" i="68"/>
  <c r="K101" i="68" s="1"/>
  <c r="O6" i="68"/>
  <c r="G83" i="79"/>
  <c r="H83" i="79" s="1"/>
  <c r="Q83" i="79" s="1"/>
  <c r="D78" i="64"/>
  <c r="M78" i="64" s="1"/>
  <c r="T20" i="77"/>
  <c r="N20" i="64"/>
  <c r="P20" i="64" s="1"/>
  <c r="T12" i="77"/>
  <c r="N12" i="64"/>
  <c r="P12" i="64" s="1"/>
  <c r="AD62" i="77"/>
  <c r="R62" i="77"/>
  <c r="X62" i="77"/>
  <c r="W62" i="77"/>
  <c r="Y62" i="77"/>
  <c r="AB62" i="77"/>
  <c r="AA62" i="77"/>
  <c r="Z62" i="77"/>
  <c r="G235" i="46"/>
  <c r="T14" i="39" s="1"/>
  <c r="G234" i="46"/>
  <c r="T13" i="39" s="1"/>
  <c r="G233" i="46"/>
  <c r="T12" i="39" s="1"/>
  <c r="G232" i="46"/>
  <c r="T11" i="39" s="1"/>
  <c r="H235" i="46"/>
  <c r="U14" i="39" s="1"/>
  <c r="H234" i="46"/>
  <c r="U13" i="39" s="1"/>
  <c r="H233" i="46"/>
  <c r="U12" i="39" s="1"/>
  <c r="H232" i="46"/>
  <c r="U11" i="39" s="1"/>
  <c r="I235" i="46"/>
  <c r="V14" i="39" s="1"/>
  <c r="I234" i="46"/>
  <c r="V13" i="39" s="1"/>
  <c r="I233" i="46"/>
  <c r="V12" i="39" s="1"/>
  <c r="I232" i="46"/>
  <c r="V11" i="39" s="1"/>
  <c r="AX234" i="46"/>
  <c r="AV235" i="46"/>
  <c r="AV234" i="46"/>
  <c r="AV233" i="46"/>
  <c r="AV232" i="46"/>
  <c r="AS234" i="46"/>
  <c r="AR235" i="46"/>
  <c r="AR234" i="46"/>
  <c r="AR233" i="46"/>
  <c r="AR232" i="46"/>
  <c r="AQ234" i="46"/>
  <c r="AQ233" i="46"/>
  <c r="AQ232" i="46"/>
  <c r="AA235" i="46"/>
  <c r="AA234" i="46"/>
  <c r="AA233" i="46"/>
  <c r="AA232" i="46"/>
  <c r="U234" i="46"/>
  <c r="U233" i="46"/>
  <c r="U232" i="46"/>
  <c r="O233" i="46"/>
  <c r="P12" i="39" s="1"/>
  <c r="O234" i="46"/>
  <c r="P13" i="39" s="1"/>
  <c r="O235" i="46"/>
  <c r="P14" i="39" s="1"/>
  <c r="E104" i="68" l="1"/>
  <c r="R111" i="68"/>
  <c r="L75" i="39" s="1"/>
  <c r="S108" i="68"/>
  <c r="M72" i="39" s="1"/>
  <c r="R109" i="68"/>
  <c r="L73" i="39" s="1"/>
  <c r="S111" i="68"/>
  <c r="M75" i="39" s="1"/>
  <c r="S110" i="68"/>
  <c r="M74" i="39" s="1"/>
  <c r="S112" i="68"/>
  <c r="M76" i="39" s="1"/>
  <c r="S109" i="68"/>
  <c r="M73" i="39" s="1"/>
  <c r="R108" i="68"/>
  <c r="L72" i="39" s="1"/>
  <c r="R112" i="68"/>
  <c r="L76" i="39" s="1"/>
  <c r="D93" i="64"/>
  <c r="D95" i="64" s="1"/>
  <c r="F102" i="68"/>
  <c r="D104" i="68"/>
  <c r="I104" i="68"/>
  <c r="G98" i="79"/>
  <c r="G100" i="79" s="1"/>
  <c r="G104" i="68"/>
  <c r="H104" i="68"/>
  <c r="D109" i="64"/>
  <c r="D89" i="64"/>
  <c r="M89" i="64" s="1"/>
  <c r="I103" i="79"/>
  <c r="E117" i="64"/>
  <c r="AJ71" i="64"/>
  <c r="T66" i="77"/>
  <c r="N66" i="64"/>
  <c r="P66" i="64" s="1"/>
  <c r="K96" i="79"/>
  <c r="K102" i="79" s="1"/>
  <c r="L81" i="79"/>
  <c r="L96" i="79" s="1"/>
  <c r="L102" i="79" s="1"/>
  <c r="O103" i="79"/>
  <c r="H117" i="64"/>
  <c r="AJ80" i="64"/>
  <c r="R68" i="77"/>
  <c r="W68" i="77"/>
  <c r="X68" i="77"/>
  <c r="AA68" i="77"/>
  <c r="Z68" i="77"/>
  <c r="Y68" i="77"/>
  <c r="AB68" i="77"/>
  <c r="T36" i="77"/>
  <c r="N36" i="64"/>
  <c r="P36" i="64" s="1"/>
  <c r="R70" i="77"/>
  <c r="Y70" i="77"/>
  <c r="AB70" i="77"/>
  <c r="AA70" i="77"/>
  <c r="Z70" i="77"/>
  <c r="W70" i="77"/>
  <c r="X70" i="77"/>
  <c r="T62" i="77"/>
  <c r="N62" i="64"/>
  <c r="P62" i="64" s="1"/>
  <c r="AJ20" i="64"/>
  <c r="G7" i="79"/>
  <c r="O78" i="68"/>
  <c r="D2" i="64"/>
  <c r="C102" i="68"/>
  <c r="R33" i="77"/>
  <c r="AB33" i="77"/>
  <c r="Z33" i="77"/>
  <c r="X33" i="77"/>
  <c r="AA33" i="77"/>
  <c r="Y33" i="77"/>
  <c r="W33" i="77"/>
  <c r="M39" i="77"/>
  <c r="Q39" i="77" s="1"/>
  <c r="O79" i="79"/>
  <c r="O102" i="79" s="1"/>
  <c r="P7" i="79"/>
  <c r="R87" i="77"/>
  <c r="Y87" i="77"/>
  <c r="Z87" i="77"/>
  <c r="AA87" i="77"/>
  <c r="W87" i="77"/>
  <c r="X87" i="77"/>
  <c r="AB87" i="77"/>
  <c r="R10" i="77"/>
  <c r="X10" i="77"/>
  <c r="Y10" i="77"/>
  <c r="AA10" i="77"/>
  <c r="W10" i="77"/>
  <c r="AB10" i="77"/>
  <c r="Z10" i="77"/>
  <c r="M84" i="77"/>
  <c r="Q84" i="77" s="1"/>
  <c r="M41" i="77"/>
  <c r="Q41" i="77" s="1"/>
  <c r="R37" i="77"/>
  <c r="Z37" i="77"/>
  <c r="AA37" i="77"/>
  <c r="X37" i="77"/>
  <c r="AB37" i="77"/>
  <c r="Y37" i="77"/>
  <c r="W37" i="77"/>
  <c r="M42" i="77"/>
  <c r="Q42" i="77" s="1"/>
  <c r="AJ67" i="64"/>
  <c r="R7" i="77"/>
  <c r="W7" i="77"/>
  <c r="X7" i="77"/>
  <c r="Z7" i="77"/>
  <c r="Y7" i="77"/>
  <c r="AA7" i="77"/>
  <c r="AB7" i="77"/>
  <c r="G81" i="79"/>
  <c r="O95" i="68"/>
  <c r="D76" i="64"/>
  <c r="T24" i="77"/>
  <c r="N24" i="64"/>
  <c r="P24" i="64" s="1"/>
  <c r="R45" i="77"/>
  <c r="Y45" i="77"/>
  <c r="Z45" i="77"/>
  <c r="AB45" i="77"/>
  <c r="X45" i="77"/>
  <c r="W45" i="77"/>
  <c r="AA45" i="77"/>
  <c r="T48" i="77"/>
  <c r="N48" i="64"/>
  <c r="P48" i="64" s="1"/>
  <c r="M3" i="77"/>
  <c r="Q3" i="77" s="1"/>
  <c r="M7" i="79"/>
  <c r="G79" i="71"/>
  <c r="G2" i="64"/>
  <c r="G74" i="64" s="1"/>
  <c r="M14" i="77"/>
  <c r="Q14" i="77" s="1"/>
  <c r="M81" i="79"/>
  <c r="G95" i="71"/>
  <c r="G76" i="64"/>
  <c r="G91" i="64" s="1"/>
  <c r="M18" i="77"/>
  <c r="Q18" i="77" s="1"/>
  <c r="R61" i="77"/>
  <c r="AA61" i="77"/>
  <c r="W61" i="77"/>
  <c r="AB61" i="77"/>
  <c r="Z61" i="77"/>
  <c r="X61" i="77"/>
  <c r="Y61" i="77"/>
  <c r="R22" i="77"/>
  <c r="AA22" i="77"/>
  <c r="W22" i="77"/>
  <c r="AB22" i="77"/>
  <c r="Z22" i="77"/>
  <c r="X22" i="77"/>
  <c r="Y22" i="77"/>
  <c r="M15" i="77"/>
  <c r="Q15" i="77" s="1"/>
  <c r="D104" i="70"/>
  <c r="D105" i="70" s="1"/>
  <c r="F99" i="64"/>
  <c r="F98" i="64"/>
  <c r="F137" i="64"/>
  <c r="R5" i="77"/>
  <c r="AB5" i="77"/>
  <c r="Z5" i="77"/>
  <c r="X5" i="77"/>
  <c r="AA5" i="77"/>
  <c r="Y5" i="77"/>
  <c r="W5" i="77"/>
  <c r="T32" i="77"/>
  <c r="N32" i="64"/>
  <c r="P32" i="64" s="1"/>
  <c r="R21" i="77"/>
  <c r="X21" i="77"/>
  <c r="AB21" i="77"/>
  <c r="Z21" i="77"/>
  <c r="AA21" i="77"/>
  <c r="Y21" i="77"/>
  <c r="W21" i="77"/>
  <c r="P72" i="64"/>
  <c r="M109" i="64"/>
  <c r="P109" i="64" s="1"/>
  <c r="M26" i="77"/>
  <c r="Q26" i="77" s="1"/>
  <c r="R47" i="77"/>
  <c r="X47" i="77"/>
  <c r="AB47" i="77"/>
  <c r="AA47" i="77"/>
  <c r="Z47" i="77"/>
  <c r="W47" i="77"/>
  <c r="Y47" i="77"/>
  <c r="R38" i="77"/>
  <c r="AB38" i="77"/>
  <c r="W38" i="77"/>
  <c r="X38" i="77"/>
  <c r="AA38" i="77"/>
  <c r="Z38" i="77"/>
  <c r="Y38" i="77"/>
  <c r="R17" i="77"/>
  <c r="Y17" i="77"/>
  <c r="W17" i="77"/>
  <c r="AB17" i="77"/>
  <c r="Z17" i="77"/>
  <c r="X17" i="77"/>
  <c r="AA17" i="77"/>
  <c r="R27" i="77"/>
  <c r="Z27" i="77"/>
  <c r="Y27" i="77"/>
  <c r="AA27" i="77"/>
  <c r="X27" i="77"/>
  <c r="W27" i="77"/>
  <c r="AB27" i="77"/>
  <c r="AD81" i="77"/>
  <c r="R81" i="77"/>
  <c r="AB81" i="77"/>
  <c r="W81" i="77"/>
  <c r="Y81" i="77"/>
  <c r="AA81" i="77"/>
  <c r="Z81" i="77"/>
  <c r="X81" i="77"/>
  <c r="T85" i="77"/>
  <c r="N85" i="64"/>
  <c r="P85" i="64" s="1"/>
  <c r="AJ59" i="64"/>
  <c r="M19" i="77"/>
  <c r="Q19" i="77" s="1"/>
  <c r="M31" i="77"/>
  <c r="Q31" i="77" s="1"/>
  <c r="M43" i="77"/>
  <c r="Q43" i="77" s="1"/>
  <c r="C104" i="68"/>
  <c r="R34" i="77"/>
  <c r="W34" i="77"/>
  <c r="AB34" i="77"/>
  <c r="Z34" i="77"/>
  <c r="X34" i="77"/>
  <c r="Y34" i="77"/>
  <c r="AA34" i="77"/>
  <c r="AJ12" i="64"/>
  <c r="M35" i="77"/>
  <c r="Q35" i="77" s="1"/>
  <c r="R86" i="77"/>
  <c r="Y86" i="77"/>
  <c r="Z86" i="77"/>
  <c r="AA86" i="77"/>
  <c r="AB86" i="77"/>
  <c r="X86" i="77"/>
  <c r="W86" i="77"/>
  <c r="H137" i="64"/>
  <c r="H99" i="64"/>
  <c r="H98" i="64"/>
  <c r="R50" i="77"/>
  <c r="AB50" i="77"/>
  <c r="Y50" i="77"/>
  <c r="X50" i="77"/>
  <c r="W50" i="77"/>
  <c r="AA50" i="77"/>
  <c r="Z50" i="77"/>
  <c r="M53" i="77"/>
  <c r="Q53" i="77" s="1"/>
  <c r="AJ82" i="64"/>
  <c r="AJ8" i="64"/>
  <c r="R44" i="77"/>
  <c r="W44" i="77"/>
  <c r="AB44" i="77"/>
  <c r="Z44" i="77"/>
  <c r="AA44" i="77"/>
  <c r="X44" i="77"/>
  <c r="Y44" i="77"/>
  <c r="T69" i="77"/>
  <c r="N69" i="64"/>
  <c r="P69" i="64" s="1"/>
  <c r="M9" i="77"/>
  <c r="Q9" i="77" s="1"/>
  <c r="M79" i="77"/>
  <c r="Q79" i="77" s="1"/>
  <c r="M13" i="77"/>
  <c r="Q13" i="77" s="1"/>
  <c r="M49" i="77"/>
  <c r="Q49" i="77" s="1"/>
  <c r="R51" i="77"/>
  <c r="AA51" i="77"/>
  <c r="Y51" i="77"/>
  <c r="W51" i="77"/>
  <c r="X51" i="77"/>
  <c r="AB51" i="77"/>
  <c r="Z51" i="77"/>
  <c r="T64" i="77"/>
  <c r="N64" i="64"/>
  <c r="P64" i="64" s="1"/>
  <c r="R11" i="77"/>
  <c r="AA11" i="77"/>
  <c r="X11" i="77"/>
  <c r="W11" i="77"/>
  <c r="AB11" i="77"/>
  <c r="Z11" i="77"/>
  <c r="Y11" i="77"/>
  <c r="AJ63" i="64"/>
  <c r="AJ16" i="64"/>
  <c r="T58" i="77"/>
  <c r="N58" i="64"/>
  <c r="P58" i="64" s="1"/>
  <c r="T60" i="77"/>
  <c r="N60" i="64"/>
  <c r="P60" i="64" s="1"/>
  <c r="M6" i="77"/>
  <c r="Q6" i="77" s="1"/>
  <c r="AJ4" i="64"/>
  <c r="M23" i="77"/>
  <c r="Q23" i="77" s="1"/>
  <c r="M78" i="77"/>
  <c r="Q78" i="77" s="1"/>
  <c r="R40" i="77"/>
  <c r="Y40" i="77"/>
  <c r="AA40" i="77"/>
  <c r="X40" i="77"/>
  <c r="Z40" i="77"/>
  <c r="W40" i="77"/>
  <c r="AB40" i="77"/>
  <c r="K103" i="79"/>
  <c r="F117" i="64"/>
  <c r="I79" i="79"/>
  <c r="I102" i="79" s="1"/>
  <c r="J7" i="79"/>
  <c r="J79" i="79" s="1"/>
  <c r="J102" i="79" s="1"/>
  <c r="R29" i="77"/>
  <c r="AB29" i="77"/>
  <c r="Z29" i="77"/>
  <c r="X29" i="77"/>
  <c r="AA29" i="77"/>
  <c r="Y29" i="77"/>
  <c r="W29" i="77"/>
  <c r="T65" i="77"/>
  <c r="N65" i="64"/>
  <c r="P65" i="64" s="1"/>
  <c r="T28" i="77"/>
  <c r="N28" i="64"/>
  <c r="P28" i="64" s="1"/>
  <c r="R25" i="77"/>
  <c r="Y25" i="77"/>
  <c r="W25" i="77"/>
  <c r="AB25" i="77"/>
  <c r="Z25" i="77"/>
  <c r="X25" i="77"/>
  <c r="AA25" i="77"/>
  <c r="T56" i="77"/>
  <c r="N56" i="64"/>
  <c r="P56" i="64" s="1"/>
  <c r="T57" i="77"/>
  <c r="N57" i="64"/>
  <c r="P57" i="64" s="1"/>
  <c r="AD83" i="77"/>
  <c r="R83" i="77"/>
  <c r="Z83" i="77"/>
  <c r="Y83" i="77"/>
  <c r="X83" i="77"/>
  <c r="W83" i="77"/>
  <c r="AB83" i="77"/>
  <c r="AA83" i="77"/>
  <c r="E97" i="64"/>
  <c r="R52" i="77"/>
  <c r="AD52" i="77"/>
  <c r="Y52" i="77"/>
  <c r="AA52" i="77"/>
  <c r="W52" i="77"/>
  <c r="X52" i="77"/>
  <c r="Z52" i="77"/>
  <c r="AB52" i="77"/>
  <c r="R46" i="77"/>
  <c r="AB46" i="77"/>
  <c r="Z46" i="77"/>
  <c r="X46" i="77"/>
  <c r="Y46" i="77"/>
  <c r="W46" i="77"/>
  <c r="AA46" i="77"/>
  <c r="R55" i="77"/>
  <c r="Y55" i="77"/>
  <c r="AA55" i="77"/>
  <c r="Z55" i="77"/>
  <c r="W55" i="77"/>
  <c r="X55" i="77"/>
  <c r="AB55" i="77"/>
  <c r="R54" i="77"/>
  <c r="Y54" i="77"/>
  <c r="Z54" i="77"/>
  <c r="AA54" i="77"/>
  <c r="X54" i="77"/>
  <c r="W54" i="77"/>
  <c r="AB54" i="77"/>
  <c r="R30" i="77"/>
  <c r="X30" i="77"/>
  <c r="Y30" i="77"/>
  <c r="AA30" i="77"/>
  <c r="W30" i="77"/>
  <c r="AB30" i="77"/>
  <c r="Z30" i="77"/>
  <c r="M100" i="79"/>
  <c r="N98" i="79"/>
  <c r="I236" i="46"/>
  <c r="V15" i="39" s="1"/>
  <c r="H236" i="46"/>
  <c r="U15" i="39" s="1"/>
  <c r="G236" i="46"/>
  <c r="T15" i="39" s="1"/>
  <c r="AA236" i="46"/>
  <c r="AR236" i="46"/>
  <c r="AV236" i="46"/>
  <c r="AT219" i="46"/>
  <c r="AR219" i="46"/>
  <c r="AP219" i="46"/>
  <c r="AL219" i="46"/>
  <c r="AJ219" i="46"/>
  <c r="AF219" i="46"/>
  <c r="AD219" i="46"/>
  <c r="AB219" i="46"/>
  <c r="Z219" i="46"/>
  <c r="V219" i="46"/>
  <c r="T219" i="46"/>
  <c r="P219" i="46"/>
  <c r="N219" i="46"/>
  <c r="M219" i="46"/>
  <c r="K219" i="46"/>
  <c r="AW218" i="46"/>
  <c r="AV218" i="46"/>
  <c r="AU218" i="46"/>
  <c r="AO218" i="46"/>
  <c r="AN218" i="46"/>
  <c r="AM218" i="46"/>
  <c r="AG218" i="46"/>
  <c r="AE218" i="46"/>
  <c r="AC218" i="46"/>
  <c r="Y218" i="46"/>
  <c r="X218" i="46"/>
  <c r="W218" i="46"/>
  <c r="S218" i="46"/>
  <c r="R218" i="46"/>
  <c r="Q218" i="46"/>
  <c r="AS217" i="46"/>
  <c r="AX217" i="46" s="1"/>
  <c r="BF216" i="46"/>
  <c r="AQ216" i="46"/>
  <c r="AK216" i="46"/>
  <c r="AA216" i="46"/>
  <c r="U216" i="46"/>
  <c r="L216" i="46"/>
  <c r="O216" i="46" s="1"/>
  <c r="J216" i="46"/>
  <c r="BF215" i="46"/>
  <c r="AQ215" i="46"/>
  <c r="AK215" i="46"/>
  <c r="AA215" i="46"/>
  <c r="U215" i="46"/>
  <c r="AS215" i="46" s="1"/>
  <c r="AX215" i="46" s="1"/>
  <c r="J215" i="46"/>
  <c r="L215" i="46" s="1"/>
  <c r="O215" i="46" s="1"/>
  <c r="BF214" i="46"/>
  <c r="AQ214" i="46"/>
  <c r="AK214" i="46"/>
  <c r="AA214" i="46"/>
  <c r="U214" i="46"/>
  <c r="L214" i="46"/>
  <c r="O214" i="46" s="1"/>
  <c r="J214" i="46"/>
  <c r="BF213" i="46"/>
  <c r="AQ213" i="46"/>
  <c r="AK213" i="46"/>
  <c r="AA213" i="46"/>
  <c r="U213" i="46"/>
  <c r="BF212" i="46"/>
  <c r="AQ212" i="46"/>
  <c r="AK212" i="46"/>
  <c r="AA212" i="46"/>
  <c r="U212" i="46"/>
  <c r="L212" i="46"/>
  <c r="O212" i="46" s="1"/>
  <c r="J212" i="46"/>
  <c r="BF211" i="46"/>
  <c r="AQ211" i="46"/>
  <c r="AK211" i="46"/>
  <c r="AA211" i="46"/>
  <c r="U211" i="46"/>
  <c r="J211" i="46"/>
  <c r="L211" i="46" s="1"/>
  <c r="O211" i="46" s="1"/>
  <c r="BF210" i="46"/>
  <c r="AQ210" i="46"/>
  <c r="AK210" i="46"/>
  <c r="AA210" i="46"/>
  <c r="U210" i="46"/>
  <c r="J210" i="46"/>
  <c r="L210" i="46" s="1"/>
  <c r="O210" i="46" s="1"/>
  <c r="BF209" i="46"/>
  <c r="AQ209" i="46"/>
  <c r="AK209" i="46"/>
  <c r="AA209" i="46"/>
  <c r="U209" i="46"/>
  <c r="BF208" i="46"/>
  <c r="AQ208" i="46"/>
  <c r="AK208" i="46"/>
  <c r="AA208" i="46"/>
  <c r="U208" i="46"/>
  <c r="L208" i="46"/>
  <c r="O208" i="46" s="1"/>
  <c r="J208" i="46"/>
  <c r="BF207" i="46"/>
  <c r="AQ207" i="46"/>
  <c r="AK207" i="46"/>
  <c r="AA207" i="46"/>
  <c r="U207" i="46"/>
  <c r="J207" i="46"/>
  <c r="L207" i="46" s="1"/>
  <c r="O207" i="46" s="1"/>
  <c r="BF206" i="46"/>
  <c r="AQ206" i="46"/>
  <c r="AK206" i="46"/>
  <c r="AA206" i="46"/>
  <c r="U206" i="46"/>
  <c r="J206" i="46"/>
  <c r="L206" i="46" s="1"/>
  <c r="O206" i="46" s="1"/>
  <c r="BF205" i="46"/>
  <c r="AQ205" i="46"/>
  <c r="AK205" i="46"/>
  <c r="AA205" i="46"/>
  <c r="U205" i="46"/>
  <c r="BF204" i="46"/>
  <c r="AQ204" i="46"/>
  <c r="AK204" i="46"/>
  <c r="AA204" i="46"/>
  <c r="U204" i="46"/>
  <c r="L204" i="46"/>
  <c r="O204" i="46" s="1"/>
  <c r="J204" i="46"/>
  <c r="BF203" i="46"/>
  <c r="AQ203" i="46"/>
  <c r="AK203" i="46"/>
  <c r="AA203" i="46"/>
  <c r="U203" i="46"/>
  <c r="AS203" i="46" s="1"/>
  <c r="AX203" i="46" s="1"/>
  <c r="J203" i="46"/>
  <c r="L203" i="46" s="1"/>
  <c r="O203" i="46" s="1"/>
  <c r="AQ202" i="46"/>
  <c r="AK202" i="46"/>
  <c r="AA202" i="46"/>
  <c r="U202" i="46"/>
  <c r="BF201" i="46"/>
  <c r="AQ201" i="46"/>
  <c r="AK201" i="46"/>
  <c r="AA201" i="46"/>
  <c r="U201" i="46"/>
  <c r="AS201" i="46" s="1"/>
  <c r="AX201" i="46" s="1"/>
  <c r="J201" i="46"/>
  <c r="L201" i="46" s="1"/>
  <c r="O201" i="46" s="1"/>
  <c r="AQ200" i="46"/>
  <c r="AK200" i="46"/>
  <c r="AA200" i="46"/>
  <c r="U200" i="46"/>
  <c r="BF199" i="46"/>
  <c r="AQ199" i="46"/>
  <c r="AK199" i="46"/>
  <c r="AA199" i="46"/>
  <c r="U199" i="46"/>
  <c r="J199" i="46"/>
  <c r="L199" i="46" s="1"/>
  <c r="O199" i="46" s="1"/>
  <c r="AQ198" i="46"/>
  <c r="AK198" i="46"/>
  <c r="AA198" i="46"/>
  <c r="U198" i="46"/>
  <c r="BF197" i="46"/>
  <c r="AQ197" i="46"/>
  <c r="AK197" i="46"/>
  <c r="AA197" i="46"/>
  <c r="U197" i="46"/>
  <c r="J197" i="46"/>
  <c r="L197" i="46" s="1"/>
  <c r="O197" i="46" s="1"/>
  <c r="AQ196" i="46"/>
  <c r="AK196" i="46"/>
  <c r="AA196" i="46"/>
  <c r="U196" i="46"/>
  <c r="BF195" i="46"/>
  <c r="AQ195" i="46"/>
  <c r="AK195" i="46"/>
  <c r="AA195" i="46"/>
  <c r="U195" i="46"/>
  <c r="AS195" i="46" s="1"/>
  <c r="AX195" i="46" s="1"/>
  <c r="J195" i="46"/>
  <c r="L195" i="46" s="1"/>
  <c r="O195" i="46" s="1"/>
  <c r="AQ194" i="46"/>
  <c r="AK194" i="46"/>
  <c r="AA194" i="46"/>
  <c r="U194" i="46"/>
  <c r="BF193" i="46"/>
  <c r="AQ193" i="46"/>
  <c r="AK193" i="46"/>
  <c r="AA193" i="46"/>
  <c r="U193" i="46"/>
  <c r="AS193" i="46" s="1"/>
  <c r="AX193" i="46" s="1"/>
  <c r="J193" i="46"/>
  <c r="L193" i="46" s="1"/>
  <c r="O193" i="46" s="1"/>
  <c r="AQ192" i="46"/>
  <c r="AK192" i="46"/>
  <c r="AA192" i="46"/>
  <c r="U192" i="46"/>
  <c r="BF191" i="46"/>
  <c r="AQ191" i="46"/>
  <c r="AK191" i="46"/>
  <c r="AA191" i="46"/>
  <c r="U191" i="46"/>
  <c r="J191" i="46"/>
  <c r="L191" i="46" s="1"/>
  <c r="O191" i="46" s="1"/>
  <c r="AQ190" i="46"/>
  <c r="AK190" i="46"/>
  <c r="AA190" i="46"/>
  <c r="U190" i="46"/>
  <c r="BF189" i="46"/>
  <c r="AQ189" i="46"/>
  <c r="AK189" i="46"/>
  <c r="AA189" i="46"/>
  <c r="U189" i="46"/>
  <c r="J189" i="46"/>
  <c r="L189" i="46" s="1"/>
  <c r="O189" i="46" s="1"/>
  <c r="AQ188" i="46"/>
  <c r="AK188" i="46"/>
  <c r="AS188" i="46" s="1"/>
  <c r="AX188" i="46" s="1"/>
  <c r="AA188" i="46"/>
  <c r="U188" i="46"/>
  <c r="L188" i="46"/>
  <c r="O188" i="46" s="1"/>
  <c r="J188" i="46"/>
  <c r="BF187" i="46"/>
  <c r="AQ187" i="46"/>
  <c r="AK187" i="46"/>
  <c r="AS187" i="46" s="1"/>
  <c r="AX187" i="46" s="1"/>
  <c r="AA187" i="46"/>
  <c r="U187" i="46"/>
  <c r="J187" i="46"/>
  <c r="L187" i="46" s="1"/>
  <c r="O187" i="46" s="1"/>
  <c r="AQ186" i="46"/>
  <c r="AK186" i="46"/>
  <c r="AA186" i="46"/>
  <c r="U186" i="46"/>
  <c r="L186" i="46"/>
  <c r="O186" i="46" s="1"/>
  <c r="J186" i="46"/>
  <c r="BF185" i="46"/>
  <c r="AQ185" i="46"/>
  <c r="AK185" i="46"/>
  <c r="AA185" i="46"/>
  <c r="U185" i="46"/>
  <c r="J185" i="46"/>
  <c r="L185" i="46" s="1"/>
  <c r="O185" i="46" s="1"/>
  <c r="AQ184" i="46"/>
  <c r="AK184" i="46"/>
  <c r="AA184" i="46"/>
  <c r="U184" i="46"/>
  <c r="J184" i="46"/>
  <c r="L184" i="46" s="1"/>
  <c r="O184" i="46" s="1"/>
  <c r="BF183" i="46"/>
  <c r="AQ183" i="46"/>
  <c r="AK183" i="46"/>
  <c r="AS183" i="46" s="1"/>
  <c r="AX183" i="46" s="1"/>
  <c r="AA183" i="46"/>
  <c r="U183" i="46"/>
  <c r="J183" i="46"/>
  <c r="L183" i="46" s="1"/>
  <c r="O183" i="46" s="1"/>
  <c r="BF182" i="46"/>
  <c r="AQ182" i="46"/>
  <c r="AK182" i="46"/>
  <c r="AA182" i="46"/>
  <c r="U182" i="46"/>
  <c r="J182" i="46"/>
  <c r="L182" i="46" s="1"/>
  <c r="O182" i="46" s="1"/>
  <c r="BF181" i="46"/>
  <c r="AQ181" i="46"/>
  <c r="AK181" i="46"/>
  <c r="AS181" i="46" s="1"/>
  <c r="AX181" i="46" s="1"/>
  <c r="AA181" i="46"/>
  <c r="U181" i="46"/>
  <c r="J181" i="46"/>
  <c r="L181" i="46" s="1"/>
  <c r="O181" i="46" s="1"/>
  <c r="BF180" i="46"/>
  <c r="AQ180" i="46"/>
  <c r="AK180" i="46"/>
  <c r="AA180" i="46"/>
  <c r="U180" i="46"/>
  <c r="J180" i="46"/>
  <c r="L180" i="46" s="1"/>
  <c r="O180" i="46" s="1"/>
  <c r="BF179" i="46"/>
  <c r="AQ179" i="46"/>
  <c r="AK179" i="46"/>
  <c r="AA179" i="46"/>
  <c r="U179" i="46"/>
  <c r="J179" i="46"/>
  <c r="L179" i="46" s="1"/>
  <c r="O179" i="46" s="1"/>
  <c r="BF178" i="46"/>
  <c r="AQ178" i="46"/>
  <c r="AK178" i="46"/>
  <c r="AA178" i="46"/>
  <c r="U178" i="46"/>
  <c r="J178" i="46"/>
  <c r="L178" i="46" s="1"/>
  <c r="O178" i="46" s="1"/>
  <c r="AQ177" i="46"/>
  <c r="AK177" i="46"/>
  <c r="AA177" i="46"/>
  <c r="U177" i="46"/>
  <c r="AS177" i="46" s="1"/>
  <c r="AX177" i="46" s="1"/>
  <c r="J177" i="46"/>
  <c r="L177" i="46" s="1"/>
  <c r="O177" i="46" s="1"/>
  <c r="AQ176" i="46"/>
  <c r="AK176" i="46"/>
  <c r="AA176" i="46"/>
  <c r="U176" i="46"/>
  <c r="BF176" i="46" s="1"/>
  <c r="J176" i="46"/>
  <c r="L176" i="46" s="1"/>
  <c r="O176" i="46" s="1"/>
  <c r="AQ175" i="46"/>
  <c r="AK175" i="46"/>
  <c r="AA175" i="46"/>
  <c r="U175" i="46"/>
  <c r="AS175" i="46" s="1"/>
  <c r="AX175" i="46" s="1"/>
  <c r="J175" i="46"/>
  <c r="L175" i="46" s="1"/>
  <c r="O175" i="46" s="1"/>
  <c r="AQ174" i="46"/>
  <c r="AK174" i="46"/>
  <c r="AA174" i="46"/>
  <c r="U174" i="46"/>
  <c r="BF174" i="46" s="1"/>
  <c r="J174" i="46"/>
  <c r="L174" i="46" s="1"/>
  <c r="O174" i="46" s="1"/>
  <c r="AQ173" i="46"/>
  <c r="AK173" i="46"/>
  <c r="AA173" i="46"/>
  <c r="U173" i="46"/>
  <c r="AS173" i="46" s="1"/>
  <c r="AX173" i="46" s="1"/>
  <c r="J173" i="46"/>
  <c r="L173" i="46" s="1"/>
  <c r="O173" i="46" s="1"/>
  <c r="AQ172" i="46"/>
  <c r="AK172" i="46"/>
  <c r="AA172" i="46"/>
  <c r="U172" i="46"/>
  <c r="BF172" i="46" s="1"/>
  <c r="J172" i="46"/>
  <c r="L172" i="46" s="1"/>
  <c r="O172" i="46" s="1"/>
  <c r="AQ171" i="46"/>
  <c r="AK171" i="46"/>
  <c r="AA171" i="46"/>
  <c r="U171" i="46"/>
  <c r="AS171" i="46" s="1"/>
  <c r="AX171" i="46" s="1"/>
  <c r="J171" i="46"/>
  <c r="L171" i="46" s="1"/>
  <c r="O171" i="46" s="1"/>
  <c r="AQ170" i="46"/>
  <c r="AK170" i="46"/>
  <c r="AA170" i="46"/>
  <c r="U170" i="46"/>
  <c r="BF170" i="46" s="1"/>
  <c r="J170" i="46"/>
  <c r="L170" i="46" s="1"/>
  <c r="O170" i="46" s="1"/>
  <c r="AQ169" i="46"/>
  <c r="AK169" i="46"/>
  <c r="AA169" i="46"/>
  <c r="U169" i="46"/>
  <c r="AS169" i="46" s="1"/>
  <c r="AX169" i="46" s="1"/>
  <c r="J169" i="46"/>
  <c r="L169" i="46" s="1"/>
  <c r="O169" i="46" s="1"/>
  <c r="AQ168" i="46"/>
  <c r="AK168" i="46"/>
  <c r="AA168" i="46"/>
  <c r="U168" i="46"/>
  <c r="BF168" i="46" s="1"/>
  <c r="J168" i="46"/>
  <c r="L168" i="46" s="1"/>
  <c r="O168" i="46" s="1"/>
  <c r="AQ167" i="46"/>
  <c r="AK167" i="46"/>
  <c r="AA167" i="46"/>
  <c r="U167" i="46"/>
  <c r="AS167" i="46" s="1"/>
  <c r="AX167" i="46" s="1"/>
  <c r="J167" i="46"/>
  <c r="L167" i="46" s="1"/>
  <c r="O167" i="46" s="1"/>
  <c r="BF166" i="46"/>
  <c r="AQ166" i="46"/>
  <c r="AK166" i="46"/>
  <c r="AA166" i="46"/>
  <c r="U166" i="46"/>
  <c r="J166" i="46"/>
  <c r="L166" i="46" s="1"/>
  <c r="O166" i="46" s="1"/>
  <c r="AQ165" i="46"/>
  <c r="AK165" i="46"/>
  <c r="AA165" i="46"/>
  <c r="U165" i="46"/>
  <c r="AS165" i="46" s="1"/>
  <c r="AX165" i="46" s="1"/>
  <c r="J165" i="46"/>
  <c r="L165" i="46" s="1"/>
  <c r="O165" i="46" s="1"/>
  <c r="BF164" i="46"/>
  <c r="AQ164" i="46"/>
  <c r="AK164" i="46"/>
  <c r="AA164" i="46"/>
  <c r="U164" i="46"/>
  <c r="J164" i="46"/>
  <c r="L164" i="46" s="1"/>
  <c r="O164" i="46" s="1"/>
  <c r="AQ163" i="46"/>
  <c r="AK163" i="46"/>
  <c r="AA163" i="46"/>
  <c r="U163" i="46"/>
  <c r="AS163" i="46" s="1"/>
  <c r="AX163" i="46" s="1"/>
  <c r="J163" i="46"/>
  <c r="L163" i="46" s="1"/>
  <c r="O163" i="46" s="1"/>
  <c r="BF162" i="46"/>
  <c r="AQ162" i="46"/>
  <c r="AK162" i="46"/>
  <c r="AA162" i="46"/>
  <c r="U162" i="46"/>
  <c r="J162" i="46"/>
  <c r="L162" i="46" s="1"/>
  <c r="O162" i="46" s="1"/>
  <c r="AQ161" i="46"/>
  <c r="AK161" i="46"/>
  <c r="AA161" i="46"/>
  <c r="U161" i="46"/>
  <c r="J161" i="46"/>
  <c r="L161" i="46" s="1"/>
  <c r="O161" i="46" s="1"/>
  <c r="BF160" i="46"/>
  <c r="AQ160" i="46"/>
  <c r="AK160" i="46"/>
  <c r="AA160" i="46"/>
  <c r="U160" i="46"/>
  <c r="J160" i="46"/>
  <c r="L160" i="46" s="1"/>
  <c r="O160" i="46" s="1"/>
  <c r="AQ159" i="46"/>
  <c r="AK159" i="46"/>
  <c r="AA159" i="46"/>
  <c r="U159" i="46"/>
  <c r="J159" i="46"/>
  <c r="L159" i="46" s="1"/>
  <c r="O159" i="46" s="1"/>
  <c r="BF158" i="46"/>
  <c r="AQ158" i="46"/>
  <c r="AK158" i="46"/>
  <c r="AA158" i="46"/>
  <c r="U158" i="46"/>
  <c r="J158" i="46"/>
  <c r="L158" i="46" s="1"/>
  <c r="O158" i="46" s="1"/>
  <c r="BF157" i="46"/>
  <c r="AQ157" i="46"/>
  <c r="AK157" i="46"/>
  <c r="AA157" i="46"/>
  <c r="U157" i="46"/>
  <c r="AS157" i="46" s="1"/>
  <c r="AX157" i="46" s="1"/>
  <c r="J157" i="46"/>
  <c r="L157" i="46" s="1"/>
  <c r="O157" i="46" s="1"/>
  <c r="BF156" i="46"/>
  <c r="AQ156" i="46"/>
  <c r="AK156" i="46"/>
  <c r="AA156" i="46"/>
  <c r="U156" i="46"/>
  <c r="J156" i="46"/>
  <c r="L156" i="46" s="1"/>
  <c r="O156" i="46" s="1"/>
  <c r="AQ155" i="46"/>
  <c r="AK155" i="46"/>
  <c r="AA155" i="46"/>
  <c r="U155" i="46"/>
  <c r="BF154" i="46"/>
  <c r="AQ154" i="46"/>
  <c r="AK154" i="46"/>
  <c r="AA154" i="46"/>
  <c r="U154" i="46"/>
  <c r="L154" i="46"/>
  <c r="O154" i="46" s="1"/>
  <c r="J154" i="46"/>
  <c r="BF153" i="46"/>
  <c r="AQ153" i="46"/>
  <c r="AK153" i="46"/>
  <c r="AA153" i="46"/>
  <c r="U153" i="46"/>
  <c r="J153" i="46"/>
  <c r="L153" i="46" s="1"/>
  <c r="O153" i="46" s="1"/>
  <c r="BF152" i="46"/>
  <c r="AQ152" i="46"/>
  <c r="AK152" i="46"/>
  <c r="AA152" i="46"/>
  <c r="U152" i="46"/>
  <c r="J152" i="46"/>
  <c r="L152" i="46" s="1"/>
  <c r="O152" i="46" s="1"/>
  <c r="AQ151" i="46"/>
  <c r="AK151" i="46"/>
  <c r="AA151" i="46"/>
  <c r="U151" i="46"/>
  <c r="BF150" i="46"/>
  <c r="AQ150" i="46"/>
  <c r="AK150" i="46"/>
  <c r="AA150" i="46"/>
  <c r="U150" i="46"/>
  <c r="L150" i="46"/>
  <c r="O150" i="46" s="1"/>
  <c r="J150" i="46"/>
  <c r="BF149" i="46"/>
  <c r="AQ149" i="46"/>
  <c r="AA149" i="46"/>
  <c r="U149" i="46"/>
  <c r="J149" i="46"/>
  <c r="L149" i="46" s="1"/>
  <c r="O149" i="46" s="1"/>
  <c r="AS149" i="46" s="1"/>
  <c r="AX149" i="46" s="1"/>
  <c r="BF148" i="46"/>
  <c r="AQ148" i="46"/>
  <c r="AK148" i="46"/>
  <c r="AA148" i="46"/>
  <c r="U148" i="46"/>
  <c r="J148" i="46"/>
  <c r="L148" i="46" s="1"/>
  <c r="O148" i="46" s="1"/>
  <c r="BF147" i="46"/>
  <c r="AQ147" i="46"/>
  <c r="AK147" i="46"/>
  <c r="AA147" i="46"/>
  <c r="U147" i="46"/>
  <c r="J147" i="46"/>
  <c r="L147" i="46" s="1"/>
  <c r="O147" i="46" s="1"/>
  <c r="BF146" i="46"/>
  <c r="AQ146" i="46"/>
  <c r="AK146" i="46"/>
  <c r="AA146" i="46"/>
  <c r="U146" i="46"/>
  <c r="J146" i="46"/>
  <c r="L146" i="46" s="1"/>
  <c r="O146" i="46" s="1"/>
  <c r="BF145" i="46"/>
  <c r="AQ145" i="46"/>
  <c r="AK145" i="46"/>
  <c r="AA145" i="46"/>
  <c r="U145" i="46"/>
  <c r="O145" i="46"/>
  <c r="J145" i="46"/>
  <c r="L145" i="46" s="1"/>
  <c r="BF144" i="46"/>
  <c r="AQ144" i="46"/>
  <c r="AK144" i="46"/>
  <c r="AA144" i="46"/>
  <c r="U144" i="46"/>
  <c r="J144" i="46"/>
  <c r="L144" i="46" s="1"/>
  <c r="O144" i="46" s="1"/>
  <c r="BF143" i="46"/>
  <c r="AQ143" i="46"/>
  <c r="AK143" i="46"/>
  <c r="AA143" i="46"/>
  <c r="U143" i="46"/>
  <c r="O143" i="46"/>
  <c r="J143" i="46"/>
  <c r="L143" i="46" s="1"/>
  <c r="BF142" i="46"/>
  <c r="AQ142" i="46"/>
  <c r="AK142" i="46"/>
  <c r="AA142" i="46"/>
  <c r="U142" i="46"/>
  <c r="J142" i="46"/>
  <c r="L142" i="46" s="1"/>
  <c r="O142" i="46" s="1"/>
  <c r="BF141" i="46"/>
  <c r="AQ141" i="46"/>
  <c r="AK141" i="46"/>
  <c r="AA141" i="46"/>
  <c r="U141" i="46"/>
  <c r="J141" i="46"/>
  <c r="L141" i="46" s="1"/>
  <c r="O141" i="46" s="1"/>
  <c r="BF140" i="46"/>
  <c r="AQ140" i="46"/>
  <c r="AK140" i="46"/>
  <c r="AA140" i="46"/>
  <c r="U140" i="46"/>
  <c r="J140" i="46"/>
  <c r="L140" i="46" s="1"/>
  <c r="O140" i="46" s="1"/>
  <c r="BF139" i="46"/>
  <c r="AQ139" i="46"/>
  <c r="AK139" i="46"/>
  <c r="AA139" i="46"/>
  <c r="U139" i="46"/>
  <c r="J139" i="46"/>
  <c r="L139" i="46" s="1"/>
  <c r="O139" i="46" s="1"/>
  <c r="BF138" i="46"/>
  <c r="AQ138" i="46"/>
  <c r="AK138" i="46"/>
  <c r="AA138" i="46"/>
  <c r="U138" i="46"/>
  <c r="J138" i="46"/>
  <c r="L138" i="46" s="1"/>
  <c r="O138" i="46" s="1"/>
  <c r="BF137" i="46"/>
  <c r="AQ137" i="46"/>
  <c r="AK137" i="46"/>
  <c r="AA137" i="46"/>
  <c r="U137" i="46"/>
  <c r="O137" i="46"/>
  <c r="J137" i="46"/>
  <c r="L137" i="46" s="1"/>
  <c r="BF136" i="46"/>
  <c r="AQ136" i="46"/>
  <c r="AK136" i="46"/>
  <c r="AA136" i="46"/>
  <c r="U136" i="46"/>
  <c r="J136" i="46"/>
  <c r="L136" i="46" s="1"/>
  <c r="O136" i="46" s="1"/>
  <c r="BF135" i="46"/>
  <c r="AQ135" i="46"/>
  <c r="AS135" i="46" s="1"/>
  <c r="AX135" i="46" s="1"/>
  <c r="AK135" i="46"/>
  <c r="AA135" i="46"/>
  <c r="U135" i="46"/>
  <c r="O135" i="46"/>
  <c r="J135" i="46"/>
  <c r="L135" i="46" s="1"/>
  <c r="BF134" i="46"/>
  <c r="AQ134" i="46"/>
  <c r="AK134" i="46"/>
  <c r="AA134" i="46"/>
  <c r="U134" i="46"/>
  <c r="J134" i="46"/>
  <c r="L134" i="46" s="1"/>
  <c r="O134" i="46" s="1"/>
  <c r="BF133" i="46"/>
  <c r="AQ133" i="46"/>
  <c r="AK133" i="46"/>
  <c r="AA133" i="46"/>
  <c r="U133" i="46"/>
  <c r="J133" i="46"/>
  <c r="L133" i="46" s="1"/>
  <c r="O133" i="46" s="1"/>
  <c r="BF132" i="46"/>
  <c r="AQ132" i="46"/>
  <c r="AK132" i="46"/>
  <c r="AA132" i="46"/>
  <c r="U132" i="46"/>
  <c r="J132" i="46"/>
  <c r="L132" i="46" s="1"/>
  <c r="O132" i="46" s="1"/>
  <c r="BF131" i="46"/>
  <c r="AQ131" i="46"/>
  <c r="AK131" i="46"/>
  <c r="AA131" i="46"/>
  <c r="U131" i="46"/>
  <c r="J131" i="46"/>
  <c r="L131" i="46" s="1"/>
  <c r="O131" i="46" s="1"/>
  <c r="BF130" i="46"/>
  <c r="AQ130" i="46"/>
  <c r="AK130" i="46"/>
  <c r="AA130" i="46"/>
  <c r="U130" i="46"/>
  <c r="J130" i="46"/>
  <c r="L130" i="46" s="1"/>
  <c r="O130" i="46" s="1"/>
  <c r="BF129" i="46"/>
  <c r="AQ129" i="46"/>
  <c r="AK129" i="46"/>
  <c r="AA129" i="46"/>
  <c r="U129" i="46"/>
  <c r="O129" i="46"/>
  <c r="J129" i="46"/>
  <c r="L129" i="46" s="1"/>
  <c r="BF128" i="46"/>
  <c r="AQ128" i="46"/>
  <c r="AK128" i="46"/>
  <c r="AA128" i="46"/>
  <c r="U128" i="46"/>
  <c r="J128" i="46"/>
  <c r="L128" i="46" s="1"/>
  <c r="O128" i="46" s="1"/>
  <c r="BF127" i="46"/>
  <c r="AQ127" i="46"/>
  <c r="AK127" i="46"/>
  <c r="AA127" i="46"/>
  <c r="U127" i="46"/>
  <c r="O127" i="46"/>
  <c r="J127" i="46"/>
  <c r="L127" i="46" s="1"/>
  <c r="BF126" i="46"/>
  <c r="AQ126" i="46"/>
  <c r="AK126" i="46"/>
  <c r="AA126" i="46"/>
  <c r="U126" i="46"/>
  <c r="J126" i="46"/>
  <c r="L126" i="46" s="1"/>
  <c r="O126" i="46" s="1"/>
  <c r="BF125" i="46"/>
  <c r="AQ125" i="46"/>
  <c r="AK125" i="46"/>
  <c r="AA125" i="46"/>
  <c r="U125" i="46"/>
  <c r="J125" i="46"/>
  <c r="L125" i="46" s="1"/>
  <c r="O125" i="46" s="1"/>
  <c r="BF124" i="46"/>
  <c r="AQ124" i="46"/>
  <c r="AK124" i="46"/>
  <c r="AA124" i="46"/>
  <c r="U124" i="46"/>
  <c r="J124" i="46"/>
  <c r="L124" i="46" s="1"/>
  <c r="O124" i="46" s="1"/>
  <c r="BF123" i="46"/>
  <c r="AQ123" i="46"/>
  <c r="AK123" i="46"/>
  <c r="AA123" i="46"/>
  <c r="U123" i="46"/>
  <c r="J123" i="46"/>
  <c r="L123" i="46" s="1"/>
  <c r="O123" i="46" s="1"/>
  <c r="BF122" i="46"/>
  <c r="AQ122" i="46"/>
  <c r="AK122" i="46"/>
  <c r="AA122" i="46"/>
  <c r="U122" i="46"/>
  <c r="J122" i="46"/>
  <c r="L122" i="46" s="1"/>
  <c r="O122" i="46" s="1"/>
  <c r="BF121" i="46"/>
  <c r="AQ121" i="46"/>
  <c r="AK121" i="46"/>
  <c r="AA121" i="46"/>
  <c r="U121" i="46"/>
  <c r="O121" i="46"/>
  <c r="J121" i="46"/>
  <c r="L121" i="46" s="1"/>
  <c r="BF120" i="46"/>
  <c r="AQ120" i="46"/>
  <c r="AK120" i="46"/>
  <c r="AA120" i="46"/>
  <c r="U120" i="46"/>
  <c r="J120" i="46"/>
  <c r="L120" i="46" s="1"/>
  <c r="O120" i="46" s="1"/>
  <c r="BF119" i="46"/>
  <c r="AQ119" i="46"/>
  <c r="AK119" i="46"/>
  <c r="AA119" i="46"/>
  <c r="U119" i="46"/>
  <c r="O119" i="46"/>
  <c r="J119" i="46"/>
  <c r="L119" i="46" s="1"/>
  <c r="BF118" i="46"/>
  <c r="AQ118" i="46"/>
  <c r="AK118" i="46"/>
  <c r="AA118" i="46"/>
  <c r="U118" i="46"/>
  <c r="J118" i="46"/>
  <c r="L118" i="46" s="1"/>
  <c r="O118" i="46" s="1"/>
  <c r="BF117" i="46"/>
  <c r="AQ117" i="46"/>
  <c r="AK117" i="46"/>
  <c r="AA117" i="46"/>
  <c r="U117" i="46"/>
  <c r="BF116" i="46"/>
  <c r="AQ116" i="46"/>
  <c r="AK116" i="46"/>
  <c r="AA116" i="46"/>
  <c r="U116" i="46"/>
  <c r="J116" i="46"/>
  <c r="L116" i="46" s="1"/>
  <c r="O116" i="46" s="1"/>
  <c r="BF115" i="46"/>
  <c r="AQ115" i="46"/>
  <c r="AK115" i="46"/>
  <c r="AA115" i="46"/>
  <c r="U115" i="46"/>
  <c r="BF114" i="46"/>
  <c r="AQ114" i="46"/>
  <c r="AK114" i="46"/>
  <c r="AA114" i="46"/>
  <c r="U114" i="46"/>
  <c r="J114" i="46"/>
  <c r="L114" i="46" s="1"/>
  <c r="O114" i="46" s="1"/>
  <c r="BF113" i="46"/>
  <c r="AQ113" i="46"/>
  <c r="AK113" i="46"/>
  <c r="AA113" i="46"/>
  <c r="U113" i="46"/>
  <c r="BF112" i="46"/>
  <c r="AQ112" i="46"/>
  <c r="AK112" i="46"/>
  <c r="AA112" i="46"/>
  <c r="U112" i="46"/>
  <c r="J112" i="46"/>
  <c r="L112" i="46" s="1"/>
  <c r="O112" i="46" s="1"/>
  <c r="BF111" i="46"/>
  <c r="AQ111" i="46"/>
  <c r="AK111" i="46"/>
  <c r="AA111" i="46"/>
  <c r="U111" i="46"/>
  <c r="BF110" i="46"/>
  <c r="AQ110" i="46"/>
  <c r="AK110" i="46"/>
  <c r="AA110" i="46"/>
  <c r="U110" i="46"/>
  <c r="J110" i="46"/>
  <c r="L110" i="46" s="1"/>
  <c r="O110" i="46" s="1"/>
  <c r="BF109" i="46"/>
  <c r="AQ109" i="46"/>
  <c r="AK109" i="46"/>
  <c r="AA109" i="46"/>
  <c r="U109" i="46"/>
  <c r="BF108" i="46"/>
  <c r="AQ108" i="46"/>
  <c r="AK108" i="46"/>
  <c r="AA108" i="46"/>
  <c r="U108" i="46"/>
  <c r="J108" i="46"/>
  <c r="L108" i="46" s="1"/>
  <c r="O108" i="46" s="1"/>
  <c r="AQ107" i="46"/>
  <c r="AK107" i="46"/>
  <c r="AA107" i="46"/>
  <c r="U107" i="46"/>
  <c r="BF107" i="46" s="1"/>
  <c r="O107" i="46"/>
  <c r="J107" i="46"/>
  <c r="L107" i="46" s="1"/>
  <c r="BF106" i="46"/>
  <c r="AQ106" i="46"/>
  <c r="AK106" i="46"/>
  <c r="AA106" i="46"/>
  <c r="U106" i="46"/>
  <c r="J106" i="46"/>
  <c r="L106" i="46" s="1"/>
  <c r="O106" i="46" s="1"/>
  <c r="BF105" i="46"/>
  <c r="AQ105" i="46"/>
  <c r="AK105" i="46"/>
  <c r="AA105" i="46"/>
  <c r="U105" i="46"/>
  <c r="L105" i="46"/>
  <c r="O105" i="46" s="1"/>
  <c r="J105" i="46"/>
  <c r="BF104" i="46"/>
  <c r="AQ104" i="46"/>
  <c r="AK104" i="46"/>
  <c r="AS104" i="46" s="1"/>
  <c r="AX104" i="46" s="1"/>
  <c r="AA104" i="46"/>
  <c r="U104" i="46"/>
  <c r="J104" i="46"/>
  <c r="L104" i="46" s="1"/>
  <c r="O104" i="46" s="1"/>
  <c r="BF103" i="46"/>
  <c r="AQ103" i="46"/>
  <c r="AK103" i="46"/>
  <c r="AA103" i="46"/>
  <c r="U103" i="46"/>
  <c r="L103" i="46"/>
  <c r="O103" i="46" s="1"/>
  <c r="J103" i="46"/>
  <c r="BF102" i="46"/>
  <c r="AQ102" i="46"/>
  <c r="AK102" i="46"/>
  <c r="AS102" i="46" s="1"/>
  <c r="AX102" i="46" s="1"/>
  <c r="AA102" i="46"/>
  <c r="U102" i="46"/>
  <c r="J102" i="46"/>
  <c r="L102" i="46" s="1"/>
  <c r="O102" i="46" s="1"/>
  <c r="BF101" i="46"/>
  <c r="AQ101" i="46"/>
  <c r="AK101" i="46"/>
  <c r="AA101" i="46"/>
  <c r="U101" i="46"/>
  <c r="L101" i="46"/>
  <c r="O101" i="46" s="1"/>
  <c r="J101" i="46"/>
  <c r="BF100" i="46"/>
  <c r="AQ100" i="46"/>
  <c r="AK100" i="46"/>
  <c r="AA100" i="46"/>
  <c r="U100" i="46"/>
  <c r="J100" i="46"/>
  <c r="L100" i="46" s="1"/>
  <c r="O100" i="46" s="1"/>
  <c r="BF99" i="46"/>
  <c r="AQ99" i="46"/>
  <c r="AK99" i="46"/>
  <c r="AA99" i="46"/>
  <c r="U99" i="46"/>
  <c r="BF98" i="46"/>
  <c r="AQ98" i="46"/>
  <c r="AK98" i="46"/>
  <c r="AA98" i="46"/>
  <c r="U98" i="46"/>
  <c r="J98" i="46"/>
  <c r="L98" i="46" s="1"/>
  <c r="O98" i="46" s="1"/>
  <c r="BF97" i="46"/>
  <c r="AQ97" i="46"/>
  <c r="AK97" i="46"/>
  <c r="AA97" i="46"/>
  <c r="U97" i="46"/>
  <c r="BF96" i="46"/>
  <c r="AQ96" i="46"/>
  <c r="AK96" i="46"/>
  <c r="AA96" i="46"/>
  <c r="U96" i="46"/>
  <c r="J96" i="46"/>
  <c r="L96" i="46" s="1"/>
  <c r="O96" i="46" s="1"/>
  <c r="BF95" i="46"/>
  <c r="AQ95" i="46"/>
  <c r="AK95" i="46"/>
  <c r="AA95" i="46"/>
  <c r="U95" i="46"/>
  <c r="BF94" i="46"/>
  <c r="AQ94" i="46"/>
  <c r="AK94" i="46"/>
  <c r="AA94" i="46"/>
  <c r="U94" i="46"/>
  <c r="J94" i="46"/>
  <c r="L94" i="46" s="1"/>
  <c r="O94" i="46" s="1"/>
  <c r="BF93" i="46"/>
  <c r="AQ93" i="46"/>
  <c r="AK93" i="46"/>
  <c r="AA93" i="46"/>
  <c r="U93" i="46"/>
  <c r="BF92" i="46"/>
  <c r="AQ92" i="46"/>
  <c r="AK92" i="46"/>
  <c r="AA92" i="46"/>
  <c r="U92" i="46"/>
  <c r="J92" i="46"/>
  <c r="L92" i="46" s="1"/>
  <c r="O92" i="46" s="1"/>
  <c r="BF91" i="46"/>
  <c r="AQ91" i="46"/>
  <c r="AK91" i="46"/>
  <c r="AA91" i="46"/>
  <c r="U91" i="46"/>
  <c r="BF90" i="46"/>
  <c r="AQ90" i="46"/>
  <c r="AK90" i="46"/>
  <c r="AA90" i="46"/>
  <c r="U90" i="46"/>
  <c r="J90" i="46"/>
  <c r="L90" i="46" s="1"/>
  <c r="O90" i="46" s="1"/>
  <c r="BF89" i="46"/>
  <c r="AQ89" i="46"/>
  <c r="AK89" i="46"/>
  <c r="AA89" i="46"/>
  <c r="U89" i="46"/>
  <c r="BF88" i="46"/>
  <c r="AQ88" i="46"/>
  <c r="AK88" i="46"/>
  <c r="AA88" i="46"/>
  <c r="U88" i="46"/>
  <c r="J88" i="46"/>
  <c r="L88" i="46" s="1"/>
  <c r="O88" i="46" s="1"/>
  <c r="BF87" i="46"/>
  <c r="AQ87" i="46"/>
  <c r="AK87" i="46"/>
  <c r="AA87" i="46"/>
  <c r="U87" i="46"/>
  <c r="BF86" i="46"/>
  <c r="AQ86" i="46"/>
  <c r="AK86" i="46"/>
  <c r="AA86" i="46"/>
  <c r="U86" i="46"/>
  <c r="J86" i="46"/>
  <c r="L86" i="46" s="1"/>
  <c r="O86" i="46" s="1"/>
  <c r="BF85" i="46"/>
  <c r="AQ85" i="46"/>
  <c r="AK85" i="46"/>
  <c r="AA85" i="46"/>
  <c r="U85" i="46"/>
  <c r="BF84" i="46"/>
  <c r="AQ84" i="46"/>
  <c r="AK84" i="46"/>
  <c r="AA84" i="46"/>
  <c r="U84" i="46"/>
  <c r="J84" i="46"/>
  <c r="L84" i="46" s="1"/>
  <c r="O84" i="46" s="1"/>
  <c r="BF83" i="46"/>
  <c r="AQ83" i="46"/>
  <c r="AK83" i="46"/>
  <c r="AA83" i="46"/>
  <c r="U83" i="46"/>
  <c r="BF82" i="46"/>
  <c r="AQ82" i="46"/>
  <c r="AK82" i="46"/>
  <c r="AA82" i="46"/>
  <c r="U82" i="46"/>
  <c r="J82" i="46"/>
  <c r="L82" i="46" s="1"/>
  <c r="O82" i="46" s="1"/>
  <c r="BF81" i="46"/>
  <c r="AQ81" i="46"/>
  <c r="AK81" i="46"/>
  <c r="AA81" i="46"/>
  <c r="U81" i="46"/>
  <c r="BF80" i="46"/>
  <c r="AQ80" i="46"/>
  <c r="AK80" i="46"/>
  <c r="AA80" i="46"/>
  <c r="U80" i="46"/>
  <c r="J80" i="46"/>
  <c r="L80" i="46" s="1"/>
  <c r="O80" i="46" s="1"/>
  <c r="BF79" i="46"/>
  <c r="AQ79" i="46"/>
  <c r="AK79" i="46"/>
  <c r="AA79" i="46"/>
  <c r="U79" i="46"/>
  <c r="BF78" i="46"/>
  <c r="AQ78" i="46"/>
  <c r="AK78" i="46"/>
  <c r="AA78" i="46"/>
  <c r="U78" i="46"/>
  <c r="J78" i="46"/>
  <c r="L78" i="46" s="1"/>
  <c r="O78" i="46" s="1"/>
  <c r="BF77" i="46"/>
  <c r="AQ77" i="46"/>
  <c r="AK77" i="46"/>
  <c r="AA77" i="46"/>
  <c r="U77" i="46"/>
  <c r="BF76" i="46"/>
  <c r="AQ76" i="46"/>
  <c r="AK76" i="46"/>
  <c r="AA76" i="46"/>
  <c r="U76" i="46"/>
  <c r="J76" i="46"/>
  <c r="L76" i="46" s="1"/>
  <c r="O76" i="46" s="1"/>
  <c r="BF75" i="46"/>
  <c r="AQ75" i="46"/>
  <c r="AK75" i="46"/>
  <c r="AA75" i="46"/>
  <c r="U75" i="46"/>
  <c r="BF74" i="46"/>
  <c r="AQ74" i="46"/>
  <c r="AK74" i="46"/>
  <c r="AA74" i="46"/>
  <c r="U74" i="46"/>
  <c r="J74" i="46"/>
  <c r="L74" i="46" s="1"/>
  <c r="O74" i="46" s="1"/>
  <c r="BF73" i="46"/>
  <c r="AQ73" i="46"/>
  <c r="AK73" i="46"/>
  <c r="AA73" i="46"/>
  <c r="U73" i="46"/>
  <c r="BF72" i="46"/>
  <c r="AQ72" i="46"/>
  <c r="AK72" i="46"/>
  <c r="AA72" i="46"/>
  <c r="U72" i="46"/>
  <c r="J72" i="46"/>
  <c r="L72" i="46" s="1"/>
  <c r="O72" i="46" s="1"/>
  <c r="AQ71" i="46"/>
  <c r="AK71" i="46"/>
  <c r="AA71" i="46"/>
  <c r="U71" i="46"/>
  <c r="BF71" i="46" s="1"/>
  <c r="J71" i="46"/>
  <c r="L71" i="46" s="1"/>
  <c r="O71" i="46" s="1"/>
  <c r="AS71" i="46" s="1"/>
  <c r="AX71" i="46" s="1"/>
  <c r="BF70" i="46"/>
  <c r="AQ70" i="46"/>
  <c r="AK70" i="46"/>
  <c r="AA70" i="46"/>
  <c r="U70" i="46"/>
  <c r="J70" i="46"/>
  <c r="L70" i="46" s="1"/>
  <c r="O70" i="46" s="1"/>
  <c r="BF69" i="46"/>
  <c r="AQ69" i="46"/>
  <c r="AK69" i="46"/>
  <c r="AA69" i="46"/>
  <c r="U69" i="46"/>
  <c r="BF68" i="46"/>
  <c r="AQ68" i="46"/>
  <c r="AK68" i="46"/>
  <c r="AA68" i="46"/>
  <c r="U68" i="46"/>
  <c r="J68" i="46"/>
  <c r="L68" i="46" s="1"/>
  <c r="O68" i="46" s="1"/>
  <c r="AQ67" i="46"/>
  <c r="AQ235" i="46" s="1"/>
  <c r="AQ236" i="46" s="1"/>
  <c r="AK67" i="46"/>
  <c r="AA67" i="46"/>
  <c r="U67" i="46"/>
  <c r="J67" i="46"/>
  <c r="L67" i="46" s="1"/>
  <c r="O67" i="46" s="1"/>
  <c r="AS67" i="46" s="1"/>
  <c r="BF66" i="46"/>
  <c r="AQ66" i="46"/>
  <c r="AK66" i="46"/>
  <c r="AA66" i="46"/>
  <c r="U66" i="46"/>
  <c r="J66" i="46"/>
  <c r="L66" i="46" s="1"/>
  <c r="O66" i="46" s="1"/>
  <c r="BF65" i="46"/>
  <c r="AQ65" i="46"/>
  <c r="AK65" i="46"/>
  <c r="AA65" i="46"/>
  <c r="U65" i="46"/>
  <c r="BF64" i="46"/>
  <c r="AQ64" i="46"/>
  <c r="AK64" i="46"/>
  <c r="AA64" i="46"/>
  <c r="U64" i="46"/>
  <c r="J64" i="46"/>
  <c r="L64" i="46" s="1"/>
  <c r="O64" i="46" s="1"/>
  <c r="AQ63" i="46"/>
  <c r="AK63" i="46"/>
  <c r="AA63" i="46"/>
  <c r="U63" i="46"/>
  <c r="BF63" i="46" s="1"/>
  <c r="J63" i="46"/>
  <c r="L63" i="46" s="1"/>
  <c r="O63" i="46" s="1"/>
  <c r="BF62" i="46"/>
  <c r="AQ62" i="46"/>
  <c r="AK62" i="46"/>
  <c r="AA62" i="46"/>
  <c r="U62" i="46"/>
  <c r="J62" i="46"/>
  <c r="L62" i="46" s="1"/>
  <c r="O62" i="46" s="1"/>
  <c r="BF61" i="46"/>
  <c r="AQ61" i="46"/>
  <c r="AK61" i="46"/>
  <c r="AA61" i="46"/>
  <c r="U61" i="46"/>
  <c r="I218" i="46"/>
  <c r="AR58" i="46"/>
  <c r="AR57" i="46"/>
  <c r="AV56" i="46"/>
  <c r="AV219" i="46" s="1"/>
  <c r="B229" i="46" s="1"/>
  <c r="AU56" i="46"/>
  <c r="AO56" i="46"/>
  <c r="AN56" i="46"/>
  <c r="AN219" i="46" s="1"/>
  <c r="AM56" i="46"/>
  <c r="AI56" i="46"/>
  <c r="AI219" i="46" s="1"/>
  <c r="AH56" i="46"/>
  <c r="AH219" i="46" s="1"/>
  <c r="AE56" i="46"/>
  <c r="AC56" i="46"/>
  <c r="Y56" i="46"/>
  <c r="X56" i="46"/>
  <c r="X219" i="46" s="1"/>
  <c r="W56" i="46"/>
  <c r="S56" i="46"/>
  <c r="R56" i="46"/>
  <c r="Q56" i="46"/>
  <c r="BF54" i="46"/>
  <c r="BB54" i="46"/>
  <c r="AQ54" i="46"/>
  <c r="AK54" i="46"/>
  <c r="AA54" i="46"/>
  <c r="U54" i="46"/>
  <c r="J54" i="46"/>
  <c r="F54" i="46"/>
  <c r="K54" i="46" s="1"/>
  <c r="L54" i="46" s="1"/>
  <c r="O54" i="46" s="1"/>
  <c r="BB53" i="46"/>
  <c r="AQ53" i="46"/>
  <c r="AK53" i="46"/>
  <c r="AA53" i="46"/>
  <c r="U53" i="46"/>
  <c r="BF53" i="46" s="1"/>
  <c r="J53" i="46"/>
  <c r="F53" i="46"/>
  <c r="K53" i="46" s="1"/>
  <c r="L53" i="46" s="1"/>
  <c r="O53" i="46" s="1"/>
  <c r="BF52" i="46"/>
  <c r="BB52" i="46"/>
  <c r="AQ52" i="46"/>
  <c r="AK52" i="46"/>
  <c r="AA52" i="46"/>
  <c r="U52" i="46"/>
  <c r="L52" i="46"/>
  <c r="O52" i="46" s="1"/>
  <c r="J52" i="46"/>
  <c r="F52" i="46"/>
  <c r="K52" i="46" s="1"/>
  <c r="BF51" i="46"/>
  <c r="BB51" i="46"/>
  <c r="AQ51" i="46"/>
  <c r="AK51" i="46"/>
  <c r="AA51" i="46"/>
  <c r="U51" i="46"/>
  <c r="J51" i="46"/>
  <c r="K51" i="46" s="1"/>
  <c r="L51" i="46" s="1"/>
  <c r="O51" i="46" s="1"/>
  <c r="F51" i="46"/>
  <c r="BB50" i="46"/>
  <c r="AQ50" i="46"/>
  <c r="AK50" i="46"/>
  <c r="AA50" i="46"/>
  <c r="U50" i="46"/>
  <c r="BF50" i="46" s="1"/>
  <c r="J50" i="46"/>
  <c r="F50" i="46"/>
  <c r="BF49" i="46"/>
  <c r="BB49" i="46"/>
  <c r="AQ49" i="46"/>
  <c r="AS49" i="46" s="1"/>
  <c r="AX49" i="46" s="1"/>
  <c r="AK49" i="46"/>
  <c r="AA49" i="46"/>
  <c r="U49" i="46"/>
  <c r="J49" i="46"/>
  <c r="K49" i="46" s="1"/>
  <c r="L49" i="46" s="1"/>
  <c r="O49" i="46" s="1"/>
  <c r="F49" i="46"/>
  <c r="BB48" i="46"/>
  <c r="AQ48" i="46"/>
  <c r="AK48" i="46"/>
  <c r="AA48" i="46"/>
  <c r="U48" i="46"/>
  <c r="BF48" i="46" s="1"/>
  <c r="J48" i="46"/>
  <c r="K48" i="46" s="1"/>
  <c r="L48" i="46" s="1"/>
  <c r="O48" i="46" s="1"/>
  <c r="F48" i="46"/>
  <c r="BF47" i="46"/>
  <c r="BB47" i="46"/>
  <c r="AQ47" i="46"/>
  <c r="AK47" i="46"/>
  <c r="AA47" i="46"/>
  <c r="U47" i="46"/>
  <c r="K47" i="46"/>
  <c r="L47" i="46" s="1"/>
  <c r="O47" i="46" s="1"/>
  <c r="J47" i="46"/>
  <c r="F47" i="46"/>
  <c r="BB46" i="46"/>
  <c r="AQ46" i="46"/>
  <c r="AK46" i="46"/>
  <c r="AA46" i="46"/>
  <c r="U46" i="46"/>
  <c r="J46" i="46"/>
  <c r="F46" i="46"/>
  <c r="BB45" i="46"/>
  <c r="AQ45" i="46"/>
  <c r="AK45" i="46"/>
  <c r="AA45" i="46"/>
  <c r="U45" i="46"/>
  <c r="BF45" i="46" s="1"/>
  <c r="J45" i="46"/>
  <c r="F45" i="46"/>
  <c r="BB44" i="46"/>
  <c r="AQ44" i="46"/>
  <c r="AK44" i="46"/>
  <c r="AA44" i="46"/>
  <c r="U44" i="46"/>
  <c r="BF44" i="46" s="1"/>
  <c r="J44" i="46"/>
  <c r="F44" i="46"/>
  <c r="BF43" i="46"/>
  <c r="BB43" i="46"/>
  <c r="AQ43" i="46"/>
  <c r="AK43" i="46"/>
  <c r="AA43" i="46"/>
  <c r="U43" i="46"/>
  <c r="J43" i="46"/>
  <c r="K43" i="46" s="1"/>
  <c r="L43" i="46" s="1"/>
  <c r="O43" i="46" s="1"/>
  <c r="F43" i="46"/>
  <c r="BF42" i="46"/>
  <c r="BB42" i="46"/>
  <c r="AQ42" i="46"/>
  <c r="AK42" i="46"/>
  <c r="AS42" i="46" s="1"/>
  <c r="AX42" i="46" s="1"/>
  <c r="AA42" i="46"/>
  <c r="U42" i="46"/>
  <c r="J42" i="46"/>
  <c r="F42" i="46"/>
  <c r="K42" i="46" s="1"/>
  <c r="L42" i="46" s="1"/>
  <c r="O42" i="46" s="1"/>
  <c r="BB41" i="46"/>
  <c r="AQ41" i="46"/>
  <c r="AK41" i="46"/>
  <c r="AA41" i="46"/>
  <c r="AS41" i="46" s="1"/>
  <c r="AX41" i="46" s="1"/>
  <c r="U41" i="46"/>
  <c r="BF41" i="46" s="1"/>
  <c r="J41" i="46"/>
  <c r="F41" i="46"/>
  <c r="K41" i="46" s="1"/>
  <c r="L41" i="46" s="1"/>
  <c r="O41" i="46" s="1"/>
  <c r="BB40" i="46"/>
  <c r="AQ40" i="46"/>
  <c r="AK40" i="46"/>
  <c r="AA40" i="46"/>
  <c r="U40" i="46"/>
  <c r="BF40" i="46" s="1"/>
  <c r="J40" i="46"/>
  <c r="F40" i="46"/>
  <c r="K40" i="46" s="1"/>
  <c r="L40" i="46" s="1"/>
  <c r="O40" i="46" s="1"/>
  <c r="BF39" i="46"/>
  <c r="BB39" i="46"/>
  <c r="AQ39" i="46"/>
  <c r="AK39" i="46"/>
  <c r="AA39" i="46"/>
  <c r="U39" i="46"/>
  <c r="F39" i="46"/>
  <c r="BF38" i="46"/>
  <c r="BB38" i="46"/>
  <c r="AQ38" i="46"/>
  <c r="AK38" i="46"/>
  <c r="AA38" i="46"/>
  <c r="U38" i="46"/>
  <c r="J38" i="46"/>
  <c r="F38" i="46"/>
  <c r="BF37" i="46"/>
  <c r="BB37" i="46"/>
  <c r="AQ37" i="46"/>
  <c r="AS37" i="46" s="1"/>
  <c r="AX37" i="46" s="1"/>
  <c r="AK37" i="46"/>
  <c r="AA37" i="46"/>
  <c r="U37" i="46"/>
  <c r="J37" i="46"/>
  <c r="K37" i="46" s="1"/>
  <c r="L37" i="46" s="1"/>
  <c r="O37" i="46" s="1"/>
  <c r="F37" i="46"/>
  <c r="BB36" i="46"/>
  <c r="AQ36" i="46"/>
  <c r="AK36" i="46"/>
  <c r="AA36" i="46"/>
  <c r="U36" i="46"/>
  <c r="BF36" i="46" s="1"/>
  <c r="J36" i="46"/>
  <c r="K36" i="46" s="1"/>
  <c r="L36" i="46" s="1"/>
  <c r="O36" i="46" s="1"/>
  <c r="F36" i="46"/>
  <c r="BF35" i="46"/>
  <c r="BB35" i="46"/>
  <c r="AQ35" i="46"/>
  <c r="AK35" i="46"/>
  <c r="AA35" i="46"/>
  <c r="U35" i="46"/>
  <c r="F35" i="46"/>
  <c r="BF34" i="46"/>
  <c r="BB34" i="46"/>
  <c r="AQ34" i="46"/>
  <c r="AK34" i="46"/>
  <c r="AA34" i="46"/>
  <c r="U34" i="46"/>
  <c r="J34" i="46"/>
  <c r="F34" i="46"/>
  <c r="K34" i="46" s="1"/>
  <c r="L34" i="46" s="1"/>
  <c r="O34" i="46" s="1"/>
  <c r="BF33" i="46"/>
  <c r="BB33" i="46"/>
  <c r="AQ33" i="46"/>
  <c r="AK33" i="46"/>
  <c r="AA33" i="46"/>
  <c r="U33" i="46"/>
  <c r="F33" i="46"/>
  <c r="BF32" i="46"/>
  <c r="BB32" i="46"/>
  <c r="AQ32" i="46"/>
  <c r="AK32" i="46"/>
  <c r="AA32" i="46"/>
  <c r="U32" i="46"/>
  <c r="J32" i="46"/>
  <c r="F32" i="46"/>
  <c r="BF31" i="46"/>
  <c r="BB31" i="46"/>
  <c r="AQ31" i="46"/>
  <c r="AK31" i="46"/>
  <c r="AA31" i="46"/>
  <c r="U31" i="46"/>
  <c r="F31" i="46"/>
  <c r="BF30" i="46"/>
  <c r="BB30" i="46"/>
  <c r="AQ30" i="46"/>
  <c r="AK30" i="46"/>
  <c r="AA30" i="46"/>
  <c r="U30" i="46"/>
  <c r="J30" i="46"/>
  <c r="F30" i="46"/>
  <c r="BF29" i="46"/>
  <c r="BB29" i="46"/>
  <c r="AQ29" i="46"/>
  <c r="AK29" i="46"/>
  <c r="AA29" i="46"/>
  <c r="U29" i="46"/>
  <c r="J29" i="46"/>
  <c r="K29" i="46" s="1"/>
  <c r="L29" i="46" s="1"/>
  <c r="O29" i="46" s="1"/>
  <c r="F29" i="46"/>
  <c r="BB28" i="46"/>
  <c r="AQ28" i="46"/>
  <c r="AK28" i="46"/>
  <c r="AA28" i="46"/>
  <c r="U28" i="46"/>
  <c r="BF28" i="46" s="1"/>
  <c r="J28" i="46"/>
  <c r="K28" i="46" s="1"/>
  <c r="L28" i="46" s="1"/>
  <c r="O28" i="46" s="1"/>
  <c r="F28" i="46"/>
  <c r="BF27" i="46"/>
  <c r="BB27" i="46"/>
  <c r="AQ27" i="46"/>
  <c r="AK27" i="46"/>
  <c r="AA27" i="46"/>
  <c r="U27" i="46"/>
  <c r="J27" i="46"/>
  <c r="K27" i="46" s="1"/>
  <c r="L27" i="46" s="1"/>
  <c r="O27" i="46" s="1"/>
  <c r="F27" i="46"/>
  <c r="BF26" i="46"/>
  <c r="BB26" i="46"/>
  <c r="AQ26" i="46"/>
  <c r="AK26" i="46"/>
  <c r="AA26" i="46"/>
  <c r="U26" i="46"/>
  <c r="J26" i="46"/>
  <c r="F26" i="46"/>
  <c r="BB25" i="46"/>
  <c r="AQ25" i="46"/>
  <c r="AK25" i="46"/>
  <c r="AA25" i="46"/>
  <c r="U25" i="46"/>
  <c r="BF25" i="46" s="1"/>
  <c r="J25" i="46"/>
  <c r="F25" i="46"/>
  <c r="K25" i="46" s="1"/>
  <c r="L25" i="46" s="1"/>
  <c r="O25" i="46" s="1"/>
  <c r="BB24" i="46"/>
  <c r="AQ24" i="46"/>
  <c r="AK24" i="46"/>
  <c r="AA24" i="46"/>
  <c r="U24" i="46"/>
  <c r="BF24" i="46" s="1"/>
  <c r="J24" i="46"/>
  <c r="K24" i="46" s="1"/>
  <c r="L24" i="46" s="1"/>
  <c r="O24" i="46" s="1"/>
  <c r="F24" i="46"/>
  <c r="BF23" i="46"/>
  <c r="BB23" i="46"/>
  <c r="AQ23" i="46"/>
  <c r="AS23" i="46" s="1"/>
  <c r="AX23" i="46" s="1"/>
  <c r="AK23" i="46"/>
  <c r="AA23" i="46"/>
  <c r="U23" i="46"/>
  <c r="J23" i="46"/>
  <c r="F23" i="46"/>
  <c r="K23" i="46" s="1"/>
  <c r="L23" i="46" s="1"/>
  <c r="O23" i="46" s="1"/>
  <c r="BB22" i="46"/>
  <c r="AQ22" i="46"/>
  <c r="AK22" i="46"/>
  <c r="AA22" i="46"/>
  <c r="U22" i="46"/>
  <c r="BF22" i="46" s="1"/>
  <c r="J22" i="46"/>
  <c r="K22" i="46" s="1"/>
  <c r="L22" i="46" s="1"/>
  <c r="O22" i="46" s="1"/>
  <c r="F22" i="46"/>
  <c r="BF21" i="46"/>
  <c r="BB21" i="46"/>
  <c r="AQ21" i="46"/>
  <c r="AK21" i="46"/>
  <c r="AA21" i="46"/>
  <c r="U21" i="46"/>
  <c r="J21" i="46"/>
  <c r="F21" i="46"/>
  <c r="K21" i="46" s="1"/>
  <c r="L21" i="46" s="1"/>
  <c r="O21" i="46" s="1"/>
  <c r="BB20" i="46"/>
  <c r="AQ20" i="46"/>
  <c r="AK20" i="46"/>
  <c r="AS20" i="46" s="1"/>
  <c r="AX20" i="46" s="1"/>
  <c r="AA20" i="46"/>
  <c r="U20" i="46"/>
  <c r="BF20" i="46" s="1"/>
  <c r="J20" i="46"/>
  <c r="K20" i="46" s="1"/>
  <c r="L20" i="46" s="1"/>
  <c r="O20" i="46" s="1"/>
  <c r="F20" i="46"/>
  <c r="BF19" i="46"/>
  <c r="BB19" i="46"/>
  <c r="AQ19" i="46"/>
  <c r="AK19" i="46"/>
  <c r="AA19" i="46"/>
  <c r="U19" i="46"/>
  <c r="J19" i="46"/>
  <c r="K19" i="46" s="1"/>
  <c r="L19" i="46" s="1"/>
  <c r="O19" i="46" s="1"/>
  <c r="F19" i="46"/>
  <c r="BF18" i="46"/>
  <c r="BB18" i="46"/>
  <c r="AQ18" i="46"/>
  <c r="AS18" i="46" s="1"/>
  <c r="AX18" i="46" s="1"/>
  <c r="AK18" i="46"/>
  <c r="AA18" i="46"/>
  <c r="U18" i="46"/>
  <c r="J18" i="46"/>
  <c r="L18" i="46" s="1"/>
  <c r="O18" i="46" s="1"/>
  <c r="F18" i="46"/>
  <c r="BF17" i="46"/>
  <c r="BB17" i="46"/>
  <c r="AQ17" i="46"/>
  <c r="AK17" i="46"/>
  <c r="AA17" i="46"/>
  <c r="U17" i="46"/>
  <c r="J17" i="46"/>
  <c r="F17" i="46"/>
  <c r="K17" i="46" s="1"/>
  <c r="L17" i="46" s="1"/>
  <c r="O17" i="46" s="1"/>
  <c r="BB16" i="46"/>
  <c r="AQ16" i="46"/>
  <c r="AK16" i="46"/>
  <c r="AA16" i="46"/>
  <c r="U16" i="46"/>
  <c r="BF16" i="46" s="1"/>
  <c r="J16" i="46"/>
  <c r="F16" i="46"/>
  <c r="K16" i="46" s="1"/>
  <c r="L16" i="46" s="1"/>
  <c r="O16" i="46" s="1"/>
  <c r="AS16" i="46" s="1"/>
  <c r="AX16" i="46" s="1"/>
  <c r="BB15" i="46"/>
  <c r="AQ15" i="46"/>
  <c r="AK15" i="46"/>
  <c r="AA15" i="46"/>
  <c r="U15" i="46"/>
  <c r="BF15" i="46" s="1"/>
  <c r="J15" i="46"/>
  <c r="K15" i="46" s="1"/>
  <c r="L15" i="46" s="1"/>
  <c r="O15" i="46" s="1"/>
  <c r="F15" i="46"/>
  <c r="BF14" i="46"/>
  <c r="BB14" i="46"/>
  <c r="AQ14" i="46"/>
  <c r="AK14" i="46"/>
  <c r="AA14" i="46"/>
  <c r="U14" i="46"/>
  <c r="I57" i="46"/>
  <c r="H57" i="46"/>
  <c r="J14" i="46"/>
  <c r="K14" i="46" s="1"/>
  <c r="L14" i="46" s="1"/>
  <c r="O14" i="46" s="1"/>
  <c r="O232" i="46" s="1"/>
  <c r="P11" i="39" s="1"/>
  <c r="F14" i="46"/>
  <c r="BF13" i="46"/>
  <c r="AQ13" i="46"/>
  <c r="AK13" i="46"/>
  <c r="AA13" i="46"/>
  <c r="U13" i="46"/>
  <c r="J13" i="46"/>
  <c r="E13" i="46"/>
  <c r="E56" i="46" s="1"/>
  <c r="E219" i="46" s="1"/>
  <c r="BB12" i="46"/>
  <c r="AQ12" i="46"/>
  <c r="AK12" i="46"/>
  <c r="AA12" i="46"/>
  <c r="AA56" i="46" s="1"/>
  <c r="U12" i="46"/>
  <c r="BF12" i="46" s="1"/>
  <c r="G56" i="46"/>
  <c r="F12" i="46"/>
  <c r="BF11" i="46"/>
  <c r="BB11" i="46"/>
  <c r="AQ11" i="46"/>
  <c r="AK11" i="46"/>
  <c r="AA11" i="46"/>
  <c r="U11" i="46"/>
  <c r="J11" i="46"/>
  <c r="K11" i="46" s="1"/>
  <c r="L11" i="46" s="1"/>
  <c r="O11" i="46" s="1"/>
  <c r="F11" i="46"/>
  <c r="BF10" i="46"/>
  <c r="BB10" i="46"/>
  <c r="AQ10" i="46"/>
  <c r="AK10" i="46"/>
  <c r="AA10" i="46"/>
  <c r="U10" i="46"/>
  <c r="J10" i="46"/>
  <c r="F10" i="46"/>
  <c r="BF9" i="46"/>
  <c r="BB9" i="46"/>
  <c r="AW56" i="46"/>
  <c r="AQ9" i="46"/>
  <c r="AK9" i="46"/>
  <c r="AG56" i="46"/>
  <c r="AA9" i="46"/>
  <c r="U9" i="46"/>
  <c r="J9" i="46"/>
  <c r="K9" i="46" s="1"/>
  <c r="L9" i="46" s="1"/>
  <c r="F9" i="46"/>
  <c r="BF8" i="46"/>
  <c r="BB8" i="46"/>
  <c r="AQ8" i="46"/>
  <c r="AK8" i="46"/>
  <c r="AA8" i="46"/>
  <c r="U8" i="46"/>
  <c r="J8" i="46"/>
  <c r="F8" i="46"/>
  <c r="BB7" i="46"/>
  <c r="AQ7" i="46"/>
  <c r="AQ56" i="46" s="1"/>
  <c r="AK7" i="46"/>
  <c r="AK56" i="46" s="1"/>
  <c r="AA7" i="46"/>
  <c r="U7" i="46"/>
  <c r="U56" i="46" s="1"/>
  <c r="J7" i="46"/>
  <c r="H56" i="46"/>
  <c r="H58" i="46" s="1"/>
  <c r="F7" i="46"/>
  <c r="K7" i="46" s="1"/>
  <c r="L7" i="46" s="1"/>
  <c r="AS14" i="46" l="1"/>
  <c r="O236" i="46"/>
  <c r="AX67" i="46"/>
  <c r="AX235" i="46" s="1"/>
  <c r="AS235" i="46"/>
  <c r="BF67" i="46"/>
  <c r="U235" i="46"/>
  <c r="U236" i="46" s="1"/>
  <c r="S113" i="68"/>
  <c r="R113" i="68"/>
  <c r="M93" i="64"/>
  <c r="M93" i="77" s="1"/>
  <c r="H98" i="79"/>
  <c r="H100" i="79" s="1"/>
  <c r="D108" i="64"/>
  <c r="O101" i="68"/>
  <c r="P101" i="68" s="1"/>
  <c r="T55" i="77"/>
  <c r="N55" i="64"/>
  <c r="P55" i="64" s="1"/>
  <c r="E137" i="64"/>
  <c r="E99" i="64"/>
  <c r="E98" i="64"/>
  <c r="AJ28" i="64"/>
  <c r="T29" i="77"/>
  <c r="N29" i="64"/>
  <c r="P29" i="64" s="1"/>
  <c r="T40" i="77"/>
  <c r="N40" i="64"/>
  <c r="P40" i="64" s="1"/>
  <c r="AJ58" i="64"/>
  <c r="T51" i="77"/>
  <c r="N51" i="64"/>
  <c r="P51" i="64" s="1"/>
  <c r="AJ69" i="64"/>
  <c r="T81" i="77"/>
  <c r="N81" i="64"/>
  <c r="P81" i="64" s="1"/>
  <c r="T21" i="77"/>
  <c r="N21" i="64"/>
  <c r="P21" i="64" s="1"/>
  <c r="M96" i="79"/>
  <c r="N81" i="79"/>
  <c r="AJ48" i="64"/>
  <c r="R42" i="77"/>
  <c r="X42" i="77"/>
  <c r="Z42" i="77"/>
  <c r="Y42" i="77"/>
  <c r="W42" i="77"/>
  <c r="AB42" i="77"/>
  <c r="AA42" i="77"/>
  <c r="AJ62" i="64"/>
  <c r="T68" i="77"/>
  <c r="N68" i="64"/>
  <c r="P68" i="64" s="1"/>
  <c r="H121" i="64"/>
  <c r="H118" i="64"/>
  <c r="AJ66" i="64"/>
  <c r="T25" i="77"/>
  <c r="N25" i="64"/>
  <c r="P25" i="64" s="1"/>
  <c r="R6" i="77"/>
  <c r="AA6" i="77"/>
  <c r="W6" i="77"/>
  <c r="AB6" i="77"/>
  <c r="Z6" i="77"/>
  <c r="X6" i="77"/>
  <c r="Y6" i="77"/>
  <c r="R49" i="77"/>
  <c r="Z49" i="77"/>
  <c r="X49" i="77"/>
  <c r="Y49" i="77"/>
  <c r="AB49" i="77"/>
  <c r="AA49" i="77"/>
  <c r="W49" i="77"/>
  <c r="T50" i="77"/>
  <c r="N50" i="64"/>
  <c r="P50" i="64" s="1"/>
  <c r="R43" i="77"/>
  <c r="X43" i="77"/>
  <c r="AA43" i="77"/>
  <c r="AB43" i="77"/>
  <c r="W43" i="77"/>
  <c r="Z43" i="77"/>
  <c r="Y43" i="77"/>
  <c r="R26" i="77"/>
  <c r="AA26" i="77"/>
  <c r="W26" i="77"/>
  <c r="AB26" i="77"/>
  <c r="Z26" i="77"/>
  <c r="X26" i="77"/>
  <c r="Y26" i="77"/>
  <c r="T5" i="77"/>
  <c r="N5" i="64"/>
  <c r="P5" i="64" s="1"/>
  <c r="T61" i="77"/>
  <c r="N61" i="64"/>
  <c r="P61" i="64" s="1"/>
  <c r="R18" i="77"/>
  <c r="W18" i="77"/>
  <c r="AB18" i="77"/>
  <c r="Z18" i="77"/>
  <c r="X18" i="77"/>
  <c r="Y18" i="77"/>
  <c r="AA18" i="77"/>
  <c r="M79" i="79"/>
  <c r="N7" i="79"/>
  <c r="N79" i="79" s="1"/>
  <c r="AJ24" i="64"/>
  <c r="G96" i="79"/>
  <c r="H81" i="79"/>
  <c r="H96" i="79" s="1"/>
  <c r="T37" i="77"/>
  <c r="N37" i="64"/>
  <c r="P37" i="64" s="1"/>
  <c r="R41" i="77"/>
  <c r="X41" i="77"/>
  <c r="Z41" i="77"/>
  <c r="AB41" i="77"/>
  <c r="W41" i="77"/>
  <c r="Y41" i="77"/>
  <c r="AA41" i="77"/>
  <c r="T87" i="77"/>
  <c r="N87" i="64"/>
  <c r="P87" i="64" s="1"/>
  <c r="R39" i="77"/>
  <c r="Z39" i="77"/>
  <c r="Y39" i="77"/>
  <c r="AA39" i="77"/>
  <c r="X39" i="77"/>
  <c r="W39" i="77"/>
  <c r="AB39" i="77"/>
  <c r="G79" i="79"/>
  <c r="H7" i="79"/>
  <c r="H79" i="79" s="1"/>
  <c r="AJ36" i="64"/>
  <c r="T54" i="77"/>
  <c r="N54" i="64"/>
  <c r="P54" i="64" s="1"/>
  <c r="F118" i="64"/>
  <c r="F121" i="64"/>
  <c r="R79" i="77"/>
  <c r="AA79" i="77"/>
  <c r="X79" i="77"/>
  <c r="W79" i="77"/>
  <c r="Z79" i="77"/>
  <c r="AB79" i="77"/>
  <c r="Y79" i="77"/>
  <c r="T86" i="77"/>
  <c r="N86" i="64"/>
  <c r="P86" i="64" s="1"/>
  <c r="R35" i="77"/>
  <c r="AB35" i="77"/>
  <c r="X35" i="77"/>
  <c r="W35" i="77"/>
  <c r="Z35" i="77"/>
  <c r="AA35" i="77"/>
  <c r="Y35" i="77"/>
  <c r="T34" i="77"/>
  <c r="N34" i="64"/>
  <c r="P34" i="64" s="1"/>
  <c r="T27" i="77"/>
  <c r="N27" i="64"/>
  <c r="P27" i="64" s="1"/>
  <c r="R15" i="77"/>
  <c r="Y15" i="77"/>
  <c r="AA15" i="77"/>
  <c r="AB15" i="77"/>
  <c r="W15" i="77"/>
  <c r="X15" i="77"/>
  <c r="Z15" i="77"/>
  <c r="N100" i="79"/>
  <c r="T30" i="77"/>
  <c r="N30" i="64"/>
  <c r="P30" i="64" s="1"/>
  <c r="T46" i="77"/>
  <c r="N46" i="64"/>
  <c r="P46" i="64" s="1"/>
  <c r="AJ65" i="64"/>
  <c r="AJ60" i="64"/>
  <c r="R53" i="77"/>
  <c r="Y53" i="77"/>
  <c r="AB53" i="77"/>
  <c r="W53" i="77"/>
  <c r="X53" i="77"/>
  <c r="AA53" i="77"/>
  <c r="Z53" i="77"/>
  <c r="AJ85" i="64"/>
  <c r="R85" i="64"/>
  <c r="Z85" i="64" s="1"/>
  <c r="T38" i="77"/>
  <c r="N38" i="64"/>
  <c r="P38" i="64" s="1"/>
  <c r="T47" i="77"/>
  <c r="N47" i="64"/>
  <c r="P47" i="64" s="1"/>
  <c r="T22" i="77"/>
  <c r="N22" i="64"/>
  <c r="P22" i="64" s="1"/>
  <c r="G97" i="64"/>
  <c r="R14" i="77"/>
  <c r="AB14" i="77"/>
  <c r="Z14" i="77"/>
  <c r="X14" i="77"/>
  <c r="Y14" i="77"/>
  <c r="AA14" i="77"/>
  <c r="W14" i="77"/>
  <c r="T10" i="77"/>
  <c r="N10" i="64"/>
  <c r="P10" i="64" s="1"/>
  <c r="P79" i="79"/>
  <c r="P102" i="79" s="1"/>
  <c r="T33" i="77"/>
  <c r="N33" i="64"/>
  <c r="P33" i="64" s="1"/>
  <c r="M108" i="64"/>
  <c r="P108" i="64" s="1"/>
  <c r="P89" i="64"/>
  <c r="E118" i="64"/>
  <c r="E121" i="64"/>
  <c r="AJ57" i="64"/>
  <c r="R23" i="77"/>
  <c r="AA23" i="77"/>
  <c r="AB23" i="77"/>
  <c r="W23" i="77"/>
  <c r="X23" i="77"/>
  <c r="Z23" i="77"/>
  <c r="Y23" i="77"/>
  <c r="T52" i="77"/>
  <c r="N52" i="64"/>
  <c r="P52" i="64" s="1"/>
  <c r="T83" i="77"/>
  <c r="N83" i="64"/>
  <c r="P83" i="64" s="1"/>
  <c r="AJ56" i="64"/>
  <c r="R78" i="77"/>
  <c r="AB78" i="77"/>
  <c r="Z78" i="77"/>
  <c r="X78" i="77"/>
  <c r="W78" i="77"/>
  <c r="AA78" i="77"/>
  <c r="Y78" i="77"/>
  <c r="T11" i="77"/>
  <c r="N11" i="64"/>
  <c r="P11" i="64" s="1"/>
  <c r="AJ64" i="64"/>
  <c r="R64" i="64"/>
  <c r="Z64" i="64" s="1"/>
  <c r="R13" i="77"/>
  <c r="Y13" i="77"/>
  <c r="W13" i="77"/>
  <c r="AA13" i="77"/>
  <c r="AB13" i="77"/>
  <c r="Z13" i="77"/>
  <c r="X13" i="77"/>
  <c r="R9" i="77"/>
  <c r="Y9" i="77"/>
  <c r="W9" i="77"/>
  <c r="AB9" i="77"/>
  <c r="Z9" i="77"/>
  <c r="X9" i="77"/>
  <c r="AA9" i="77"/>
  <c r="T44" i="77"/>
  <c r="N44" i="64"/>
  <c r="P44" i="64" s="1"/>
  <c r="R31" i="77"/>
  <c r="AA31" i="77"/>
  <c r="AB31" i="77"/>
  <c r="W31" i="77"/>
  <c r="X31" i="77"/>
  <c r="Z31" i="77"/>
  <c r="Y31" i="77"/>
  <c r="R19" i="77"/>
  <c r="AA19" i="77"/>
  <c r="AB19" i="77"/>
  <c r="W19" i="77"/>
  <c r="X19" i="77"/>
  <c r="Z19" i="77"/>
  <c r="Y19" i="77"/>
  <c r="AD91" i="77"/>
  <c r="T17" i="77"/>
  <c r="N17" i="64"/>
  <c r="P17" i="64" s="1"/>
  <c r="AJ72" i="64"/>
  <c r="R72" i="64"/>
  <c r="Z72" i="64" s="1"/>
  <c r="AJ32" i="64"/>
  <c r="G101" i="71"/>
  <c r="R3" i="77"/>
  <c r="W3" i="77"/>
  <c r="X3" i="77"/>
  <c r="Z3" i="77"/>
  <c r="Y3" i="77"/>
  <c r="AA3" i="77"/>
  <c r="AB3" i="77"/>
  <c r="T45" i="77"/>
  <c r="N45" i="64"/>
  <c r="P45" i="64" s="1"/>
  <c r="D91" i="64"/>
  <c r="M76" i="64"/>
  <c r="T7" i="77"/>
  <c r="N7" i="64"/>
  <c r="P7" i="64" s="1"/>
  <c r="R84" i="77"/>
  <c r="W84" i="77"/>
  <c r="Z84" i="77"/>
  <c r="AB84" i="77"/>
  <c r="AA84" i="77"/>
  <c r="X84" i="77"/>
  <c r="Y84" i="77"/>
  <c r="D74" i="64"/>
  <c r="M2" i="64"/>
  <c r="T70" i="77"/>
  <c r="N70" i="64"/>
  <c r="P70" i="64" s="1"/>
  <c r="O7" i="46"/>
  <c r="AS26" i="46"/>
  <c r="AX26" i="46" s="1"/>
  <c r="AS10" i="46"/>
  <c r="AX10" i="46" s="1"/>
  <c r="K8" i="46"/>
  <c r="L8" i="46" s="1"/>
  <c r="O8" i="46" s="1"/>
  <c r="AS8" i="46" s="1"/>
  <c r="AX8" i="46" s="1"/>
  <c r="AS11" i="46"/>
  <c r="AX11" i="46" s="1"/>
  <c r="G58" i="46"/>
  <c r="AS17" i="46"/>
  <c r="AX17" i="46" s="1"/>
  <c r="AS19" i="46"/>
  <c r="AX19" i="46" s="1"/>
  <c r="AS22" i="46"/>
  <c r="AX22" i="46" s="1"/>
  <c r="AS38" i="46"/>
  <c r="AX38" i="46" s="1"/>
  <c r="AS40" i="46"/>
  <c r="AX40" i="46" s="1"/>
  <c r="K44" i="46"/>
  <c r="L44" i="46" s="1"/>
  <c r="O44" i="46" s="1"/>
  <c r="AS44" i="46" s="1"/>
  <c r="AX44" i="46" s="1"/>
  <c r="AS51" i="46"/>
  <c r="AX51" i="46" s="1"/>
  <c r="AS53" i="46"/>
  <c r="AX53" i="46" s="1"/>
  <c r="AS21" i="46"/>
  <c r="AX21" i="46" s="1"/>
  <c r="K26" i="46"/>
  <c r="L26" i="46" s="1"/>
  <c r="O26" i="46" s="1"/>
  <c r="K45" i="46"/>
  <c r="L45" i="46" s="1"/>
  <c r="O45" i="46" s="1"/>
  <c r="AS15" i="46"/>
  <c r="AX15" i="46" s="1"/>
  <c r="B232" i="46"/>
  <c r="O9" i="46"/>
  <c r="AS9" i="46" s="1"/>
  <c r="AX9" i="46" s="1"/>
  <c r="K10" i="46"/>
  <c r="L10" i="46" s="1"/>
  <c r="O10" i="46" s="1"/>
  <c r="AS24" i="46"/>
  <c r="AX24" i="46" s="1"/>
  <c r="AS27" i="46"/>
  <c r="AX27" i="46" s="1"/>
  <c r="AS29" i="46"/>
  <c r="AX29" i="46" s="1"/>
  <c r="AS34" i="46"/>
  <c r="AX34" i="46" s="1"/>
  <c r="AS36" i="46"/>
  <c r="AX36" i="46" s="1"/>
  <c r="BF7" i="46"/>
  <c r="AS66" i="46"/>
  <c r="AX66" i="46" s="1"/>
  <c r="AS101" i="46"/>
  <c r="AX101" i="46" s="1"/>
  <c r="I56" i="46"/>
  <c r="I58" i="46" s="1"/>
  <c r="J12" i="46"/>
  <c r="K12" i="46" s="1"/>
  <c r="L12" i="46" s="1"/>
  <c r="O12" i="46" s="1"/>
  <c r="AS12" i="46" s="1"/>
  <c r="AX12" i="46" s="1"/>
  <c r="BB13" i="46"/>
  <c r="K32" i="46"/>
  <c r="L32" i="46" s="1"/>
  <c r="O32" i="46" s="1"/>
  <c r="AS32" i="46" s="1"/>
  <c r="AX32" i="46" s="1"/>
  <c r="J33" i="46"/>
  <c r="K33" i="46" s="1"/>
  <c r="L33" i="46" s="1"/>
  <c r="O33" i="46" s="1"/>
  <c r="AS33" i="46" s="1"/>
  <c r="AX33" i="46" s="1"/>
  <c r="AS35" i="46"/>
  <c r="AX35" i="46" s="1"/>
  <c r="K38" i="46"/>
  <c r="L38" i="46" s="1"/>
  <c r="O38" i="46" s="1"/>
  <c r="J39" i="46"/>
  <c r="K39" i="46" s="1"/>
  <c r="L39" i="46" s="1"/>
  <c r="O39" i="46" s="1"/>
  <c r="BF46" i="46"/>
  <c r="AS54" i="46"/>
  <c r="H218" i="46"/>
  <c r="H219" i="46" s="1"/>
  <c r="AS103" i="46"/>
  <c r="AX103" i="46" s="1"/>
  <c r="AS106" i="46"/>
  <c r="AX106" i="46" s="1"/>
  <c r="AS132" i="46"/>
  <c r="AX132" i="46" s="1"/>
  <c r="AS143" i="46"/>
  <c r="AX143" i="46" s="1"/>
  <c r="AS153" i="46"/>
  <c r="AX153" i="46" s="1"/>
  <c r="AS25" i="46"/>
  <c r="AX25" i="46" s="1"/>
  <c r="AS45" i="46"/>
  <c r="AX45" i="46" s="1"/>
  <c r="AS70" i="46"/>
  <c r="AX70" i="46" s="1"/>
  <c r="AS124" i="46"/>
  <c r="AX124" i="46" s="1"/>
  <c r="AS28" i="46"/>
  <c r="AX28" i="46" s="1"/>
  <c r="AS43" i="46"/>
  <c r="AX43" i="46" s="1"/>
  <c r="K46" i="46"/>
  <c r="L46" i="46" s="1"/>
  <c r="O46" i="46" s="1"/>
  <c r="AS46" i="46" s="1"/>
  <c r="AX46" i="46" s="1"/>
  <c r="AS48" i="46"/>
  <c r="AX48" i="46" s="1"/>
  <c r="G57" i="46"/>
  <c r="AQ218" i="46"/>
  <c r="AS107" i="46"/>
  <c r="AX107" i="46" s="1"/>
  <c r="AS127" i="46"/>
  <c r="AX127" i="46" s="1"/>
  <c r="AS148" i="46"/>
  <c r="AX148" i="46" s="1"/>
  <c r="AS39" i="46"/>
  <c r="AX39" i="46" s="1"/>
  <c r="AS62" i="46"/>
  <c r="AX62" i="46" s="1"/>
  <c r="AS63" i="46"/>
  <c r="AX63" i="46" s="1"/>
  <c r="F13" i="46"/>
  <c r="K13" i="46" s="1"/>
  <c r="L13" i="46" s="1"/>
  <c r="O13" i="46" s="1"/>
  <c r="AS13" i="46" s="1"/>
  <c r="AX13" i="46" s="1"/>
  <c r="K30" i="46"/>
  <c r="L30" i="46" s="1"/>
  <c r="O30" i="46" s="1"/>
  <c r="AS30" i="46" s="1"/>
  <c r="AX30" i="46" s="1"/>
  <c r="J31" i="46"/>
  <c r="K31" i="46" s="1"/>
  <c r="L31" i="46" s="1"/>
  <c r="O31" i="46" s="1"/>
  <c r="AS31" i="46" s="1"/>
  <c r="AX31" i="46" s="1"/>
  <c r="J35" i="46"/>
  <c r="K35" i="46" s="1"/>
  <c r="L35" i="46" s="1"/>
  <c r="O35" i="46" s="1"/>
  <c r="AS47" i="46"/>
  <c r="AX47" i="46" s="1"/>
  <c r="K50" i="46"/>
  <c r="L50" i="46" s="1"/>
  <c r="O50" i="46" s="1"/>
  <c r="AS50" i="46" s="1"/>
  <c r="AX50" i="46" s="1"/>
  <c r="AS52" i="46"/>
  <c r="AX52" i="46" s="1"/>
  <c r="U218" i="46"/>
  <c r="AS64" i="46"/>
  <c r="AX64" i="46" s="1"/>
  <c r="J65" i="46"/>
  <c r="L65" i="46" s="1"/>
  <c r="O65" i="46" s="1"/>
  <c r="AS65" i="46" s="1"/>
  <c r="AX65" i="46" s="1"/>
  <c r="AS68" i="46"/>
  <c r="AX68" i="46" s="1"/>
  <c r="J69" i="46"/>
  <c r="L69" i="46" s="1"/>
  <c r="AS72" i="46"/>
  <c r="AX72" i="46" s="1"/>
  <c r="J73" i="46"/>
  <c r="L73" i="46" s="1"/>
  <c r="O73" i="46" s="1"/>
  <c r="AS73" i="46" s="1"/>
  <c r="AX73" i="46" s="1"/>
  <c r="AS74" i="46"/>
  <c r="AX74" i="46" s="1"/>
  <c r="J75" i="46"/>
  <c r="L75" i="46" s="1"/>
  <c r="O75" i="46" s="1"/>
  <c r="AS75" i="46" s="1"/>
  <c r="AX75" i="46" s="1"/>
  <c r="AS76" i="46"/>
  <c r="AX76" i="46" s="1"/>
  <c r="J77" i="46"/>
  <c r="L77" i="46" s="1"/>
  <c r="O77" i="46" s="1"/>
  <c r="AS77" i="46" s="1"/>
  <c r="AX77" i="46" s="1"/>
  <c r="AS78" i="46"/>
  <c r="AX78" i="46" s="1"/>
  <c r="J79" i="46"/>
  <c r="L79" i="46" s="1"/>
  <c r="O79" i="46" s="1"/>
  <c r="AS79" i="46" s="1"/>
  <c r="AX79" i="46" s="1"/>
  <c r="AS80" i="46"/>
  <c r="AX80" i="46" s="1"/>
  <c r="J81" i="46"/>
  <c r="L81" i="46" s="1"/>
  <c r="O81" i="46" s="1"/>
  <c r="AS81" i="46" s="1"/>
  <c r="AX81" i="46" s="1"/>
  <c r="AS82" i="46"/>
  <c r="AX82" i="46" s="1"/>
  <c r="J83" i="46"/>
  <c r="L83" i="46" s="1"/>
  <c r="O83" i="46" s="1"/>
  <c r="AS83" i="46" s="1"/>
  <c r="AX83" i="46" s="1"/>
  <c r="AS84" i="46"/>
  <c r="AX84" i="46" s="1"/>
  <c r="J85" i="46"/>
  <c r="L85" i="46" s="1"/>
  <c r="O85" i="46" s="1"/>
  <c r="AS85" i="46" s="1"/>
  <c r="AX85" i="46" s="1"/>
  <c r="AS86" i="46"/>
  <c r="AX86" i="46" s="1"/>
  <c r="J87" i="46"/>
  <c r="L87" i="46" s="1"/>
  <c r="O87" i="46" s="1"/>
  <c r="AS87" i="46" s="1"/>
  <c r="AX87" i="46" s="1"/>
  <c r="AS88" i="46"/>
  <c r="AX88" i="46" s="1"/>
  <c r="J89" i="46"/>
  <c r="L89" i="46" s="1"/>
  <c r="O89" i="46" s="1"/>
  <c r="AS89" i="46" s="1"/>
  <c r="AX89" i="46" s="1"/>
  <c r="AS90" i="46"/>
  <c r="AX90" i="46" s="1"/>
  <c r="J91" i="46"/>
  <c r="L91" i="46" s="1"/>
  <c r="O91" i="46" s="1"/>
  <c r="AS91" i="46" s="1"/>
  <c r="AX91" i="46" s="1"/>
  <c r="AS92" i="46"/>
  <c r="AX92" i="46" s="1"/>
  <c r="J93" i="46"/>
  <c r="L93" i="46" s="1"/>
  <c r="O93" i="46" s="1"/>
  <c r="AS93" i="46" s="1"/>
  <c r="AX93" i="46" s="1"/>
  <c r="AS94" i="46"/>
  <c r="AX94" i="46" s="1"/>
  <c r="J95" i="46"/>
  <c r="L95" i="46" s="1"/>
  <c r="O95" i="46" s="1"/>
  <c r="AS95" i="46" s="1"/>
  <c r="AX95" i="46" s="1"/>
  <c r="AS96" i="46"/>
  <c r="AX96" i="46" s="1"/>
  <c r="J97" i="46"/>
  <c r="L97" i="46" s="1"/>
  <c r="O97" i="46" s="1"/>
  <c r="AS97" i="46" s="1"/>
  <c r="AX97" i="46" s="1"/>
  <c r="AS98" i="46"/>
  <c r="AX98" i="46" s="1"/>
  <c r="J99" i="46"/>
  <c r="L99" i="46" s="1"/>
  <c r="O99" i="46" s="1"/>
  <c r="AS99" i="46" s="1"/>
  <c r="AX99" i="46" s="1"/>
  <c r="AS100" i="46"/>
  <c r="AX100" i="46" s="1"/>
  <c r="AS105" i="46"/>
  <c r="AX105" i="46" s="1"/>
  <c r="AS140" i="46"/>
  <c r="AX140" i="46" s="1"/>
  <c r="G218" i="46"/>
  <c r="G219" i="46" s="1"/>
  <c r="AK218" i="46"/>
  <c r="AK219" i="46" s="1"/>
  <c r="AS118" i="46"/>
  <c r="AX118" i="46" s="1"/>
  <c r="AS120" i="46"/>
  <c r="AX120" i="46" s="1"/>
  <c r="AS122" i="46"/>
  <c r="AX122" i="46" s="1"/>
  <c r="AS125" i="46"/>
  <c r="AX125" i="46" s="1"/>
  <c r="AS130" i="46"/>
  <c r="AX130" i="46" s="1"/>
  <c r="AS133" i="46"/>
  <c r="AX133" i="46" s="1"/>
  <c r="AS138" i="46"/>
  <c r="AX138" i="46" s="1"/>
  <c r="AS141" i="46"/>
  <c r="AX141" i="46" s="1"/>
  <c r="AS146" i="46"/>
  <c r="AX146" i="46" s="1"/>
  <c r="AS150" i="46"/>
  <c r="AX150" i="46" s="1"/>
  <c r="AS154" i="46"/>
  <c r="AX154" i="46" s="1"/>
  <c r="AS158" i="46"/>
  <c r="AX158" i="46" s="1"/>
  <c r="AS160" i="46"/>
  <c r="AX160" i="46" s="1"/>
  <c r="AS162" i="46"/>
  <c r="AX162" i="46" s="1"/>
  <c r="AS164" i="46"/>
  <c r="AX164" i="46" s="1"/>
  <c r="AS166" i="46"/>
  <c r="AX166" i="46" s="1"/>
  <c r="AS168" i="46"/>
  <c r="AX168" i="46" s="1"/>
  <c r="AS170" i="46"/>
  <c r="AX170" i="46" s="1"/>
  <c r="AS172" i="46"/>
  <c r="AX172" i="46" s="1"/>
  <c r="AS174" i="46"/>
  <c r="AX174" i="46" s="1"/>
  <c r="AS176" i="46"/>
  <c r="AX176" i="46" s="1"/>
  <c r="AS119" i="46"/>
  <c r="AX119" i="46" s="1"/>
  <c r="AS121" i="46"/>
  <c r="AX121" i="46" s="1"/>
  <c r="AS126" i="46"/>
  <c r="AX126" i="46" s="1"/>
  <c r="AS129" i="46"/>
  <c r="AX129" i="46" s="1"/>
  <c r="AS134" i="46"/>
  <c r="AX134" i="46" s="1"/>
  <c r="AS137" i="46"/>
  <c r="AX137" i="46" s="1"/>
  <c r="AS142" i="46"/>
  <c r="AX142" i="46" s="1"/>
  <c r="AS145" i="46"/>
  <c r="AX145" i="46" s="1"/>
  <c r="AS152" i="46"/>
  <c r="AX152" i="46" s="1"/>
  <c r="AS156" i="46"/>
  <c r="AX156" i="46" s="1"/>
  <c r="AS159" i="46"/>
  <c r="AX159" i="46" s="1"/>
  <c r="AS161" i="46"/>
  <c r="AX161" i="46" s="1"/>
  <c r="J61" i="46"/>
  <c r="AA218" i="46"/>
  <c r="AS108" i="46"/>
  <c r="AX108" i="46" s="1"/>
  <c r="J109" i="46"/>
  <c r="L109" i="46" s="1"/>
  <c r="O109" i="46" s="1"/>
  <c r="AS109" i="46" s="1"/>
  <c r="AX109" i="46" s="1"/>
  <c r="AS110" i="46"/>
  <c r="AX110" i="46" s="1"/>
  <c r="J111" i="46"/>
  <c r="L111" i="46" s="1"/>
  <c r="O111" i="46" s="1"/>
  <c r="AS111" i="46" s="1"/>
  <c r="AX111" i="46" s="1"/>
  <c r="AS112" i="46"/>
  <c r="AX112" i="46" s="1"/>
  <c r="J113" i="46"/>
  <c r="L113" i="46" s="1"/>
  <c r="O113" i="46" s="1"/>
  <c r="AS113" i="46" s="1"/>
  <c r="AX113" i="46" s="1"/>
  <c r="AS114" i="46"/>
  <c r="AX114" i="46" s="1"/>
  <c r="J115" i="46"/>
  <c r="L115" i="46" s="1"/>
  <c r="O115" i="46" s="1"/>
  <c r="AS115" i="46" s="1"/>
  <c r="AX115" i="46" s="1"/>
  <c r="AS116" i="46"/>
  <c r="AX116" i="46" s="1"/>
  <c r="J117" i="46"/>
  <c r="L117" i="46" s="1"/>
  <c r="O117" i="46" s="1"/>
  <c r="AS117" i="46" s="1"/>
  <c r="AX117" i="46" s="1"/>
  <c r="AS123" i="46"/>
  <c r="AX123" i="46" s="1"/>
  <c r="AS128" i="46"/>
  <c r="AX128" i="46" s="1"/>
  <c r="AS131" i="46"/>
  <c r="AX131" i="46" s="1"/>
  <c r="AS136" i="46"/>
  <c r="AX136" i="46" s="1"/>
  <c r="AS139" i="46"/>
  <c r="AX139" i="46" s="1"/>
  <c r="AS144" i="46"/>
  <c r="AX144" i="46" s="1"/>
  <c r="AS147" i="46"/>
  <c r="AX147" i="46" s="1"/>
  <c r="J151" i="46"/>
  <c r="L151" i="46" s="1"/>
  <c r="O151" i="46" s="1"/>
  <c r="AS151" i="46" s="1"/>
  <c r="AX151" i="46" s="1"/>
  <c r="BF151" i="46"/>
  <c r="J155" i="46"/>
  <c r="L155" i="46" s="1"/>
  <c r="O155" i="46" s="1"/>
  <c r="AS155" i="46" s="1"/>
  <c r="AX155" i="46" s="1"/>
  <c r="BF155" i="46"/>
  <c r="BF159" i="46"/>
  <c r="BF161" i="46"/>
  <c r="BF163" i="46"/>
  <c r="BF165" i="46"/>
  <c r="BF167" i="46"/>
  <c r="BF169" i="46"/>
  <c r="BF171" i="46"/>
  <c r="BF173" i="46"/>
  <c r="BF175" i="46"/>
  <c r="BF177" i="46"/>
  <c r="AS178" i="46"/>
  <c r="AX178" i="46" s="1"/>
  <c r="AS179" i="46"/>
  <c r="AX179" i="46" s="1"/>
  <c r="AS180" i="46"/>
  <c r="AX180" i="46" s="1"/>
  <c r="AS182" i="46"/>
  <c r="AX182" i="46" s="1"/>
  <c r="AS186" i="46"/>
  <c r="AX186" i="46" s="1"/>
  <c r="AS191" i="46"/>
  <c r="AX191" i="46" s="1"/>
  <c r="AS199" i="46"/>
  <c r="AX199" i="46" s="1"/>
  <c r="AS202" i="46"/>
  <c r="AX202" i="46" s="1"/>
  <c r="AS211" i="46"/>
  <c r="AX211" i="46" s="1"/>
  <c r="AS213" i="46"/>
  <c r="AX213" i="46" s="1"/>
  <c r="AW219" i="46"/>
  <c r="B227" i="46" s="1"/>
  <c r="AS190" i="46"/>
  <c r="AX190" i="46" s="1"/>
  <c r="AS198" i="46"/>
  <c r="AX198" i="46" s="1"/>
  <c r="W219" i="46"/>
  <c r="AE219" i="46"/>
  <c r="AO219" i="46"/>
  <c r="AS184" i="46"/>
  <c r="AX184" i="46" s="1"/>
  <c r="AS185" i="46"/>
  <c r="AX185" i="46" s="1"/>
  <c r="AS189" i="46"/>
  <c r="AX189" i="46" s="1"/>
  <c r="AS197" i="46"/>
  <c r="AX197" i="46" s="1"/>
  <c r="AS200" i="46"/>
  <c r="AX200" i="46" s="1"/>
  <c r="AS207" i="46"/>
  <c r="AX207" i="46" s="1"/>
  <c r="AS204" i="46"/>
  <c r="AX204" i="46" s="1"/>
  <c r="AS208" i="46"/>
  <c r="AX208" i="46" s="1"/>
  <c r="AS212" i="46"/>
  <c r="AX212" i="46" s="1"/>
  <c r="AS216" i="46"/>
  <c r="AX216" i="46" s="1"/>
  <c r="S219" i="46"/>
  <c r="AC219" i="46"/>
  <c r="J190" i="46"/>
  <c r="L190" i="46" s="1"/>
  <c r="O190" i="46" s="1"/>
  <c r="J192" i="46"/>
  <c r="L192" i="46" s="1"/>
  <c r="O192" i="46" s="1"/>
  <c r="AS192" i="46" s="1"/>
  <c r="AX192" i="46" s="1"/>
  <c r="J194" i="46"/>
  <c r="L194" i="46" s="1"/>
  <c r="O194" i="46" s="1"/>
  <c r="AS194" i="46" s="1"/>
  <c r="AX194" i="46" s="1"/>
  <c r="J196" i="46"/>
  <c r="L196" i="46" s="1"/>
  <c r="O196" i="46" s="1"/>
  <c r="AS196" i="46" s="1"/>
  <c r="AX196" i="46" s="1"/>
  <c r="J198" i="46"/>
  <c r="L198" i="46" s="1"/>
  <c r="O198" i="46" s="1"/>
  <c r="J200" i="46"/>
  <c r="L200" i="46" s="1"/>
  <c r="O200" i="46" s="1"/>
  <c r="J202" i="46"/>
  <c r="L202" i="46" s="1"/>
  <c r="O202" i="46" s="1"/>
  <c r="AS206" i="46"/>
  <c r="AX206" i="46" s="1"/>
  <c r="AS210" i="46"/>
  <c r="AX210" i="46" s="1"/>
  <c r="AS214" i="46"/>
  <c r="AX214" i="46" s="1"/>
  <c r="Q219" i="46"/>
  <c r="AG219" i="46"/>
  <c r="B226" i="46" s="1"/>
  <c r="BF184" i="46"/>
  <c r="BF186" i="46"/>
  <c r="BF188" i="46"/>
  <c r="BF190" i="46"/>
  <c r="BF192" i="46"/>
  <c r="BF194" i="46"/>
  <c r="BF196" i="46"/>
  <c r="BF198" i="46"/>
  <c r="BF200" i="46"/>
  <c r="BF202" i="46"/>
  <c r="J205" i="46"/>
  <c r="L205" i="46" s="1"/>
  <c r="O205" i="46" s="1"/>
  <c r="AS205" i="46" s="1"/>
  <c r="AX205" i="46" s="1"/>
  <c r="J209" i="46"/>
  <c r="L209" i="46" s="1"/>
  <c r="O209" i="46" s="1"/>
  <c r="AS209" i="46" s="1"/>
  <c r="AX209" i="46" s="1"/>
  <c r="J213" i="46"/>
  <c r="L213" i="46" s="1"/>
  <c r="O213" i="46" s="1"/>
  <c r="R219" i="46"/>
  <c r="Y219" i="46"/>
  <c r="AM219" i="46"/>
  <c r="AU219" i="46"/>
  <c r="AX232" i="46" l="1"/>
  <c r="AX14" i="46"/>
  <c r="AS232" i="46"/>
  <c r="AX54" i="46"/>
  <c r="AS233" i="46"/>
  <c r="AS236" i="46" s="1"/>
  <c r="G102" i="79"/>
  <c r="Q98" i="79"/>
  <c r="Q100" i="79" s="1"/>
  <c r="G103" i="79"/>
  <c r="H102" i="79"/>
  <c r="M95" i="64"/>
  <c r="D117" i="64"/>
  <c r="M102" i="79"/>
  <c r="Q7" i="79"/>
  <c r="Q79" i="79" s="1"/>
  <c r="AJ70" i="64"/>
  <c r="AJ7" i="64"/>
  <c r="AJ45" i="64"/>
  <c r="T19" i="77"/>
  <c r="N19" i="64"/>
  <c r="P19" i="64" s="1"/>
  <c r="T13" i="77"/>
  <c r="N13" i="64"/>
  <c r="P13" i="64" s="1"/>
  <c r="AJ83" i="64"/>
  <c r="AJ30" i="64"/>
  <c r="R30" i="64"/>
  <c r="Z30" i="64" s="1"/>
  <c r="T39" i="77"/>
  <c r="N39" i="64"/>
  <c r="P39" i="64" s="1"/>
  <c r="T18" i="77"/>
  <c r="N18" i="64"/>
  <c r="P18" i="64" s="1"/>
  <c r="AJ5" i="64"/>
  <c r="AJ50" i="64"/>
  <c r="AJ25" i="64"/>
  <c r="T42" i="77"/>
  <c r="N42" i="64"/>
  <c r="P42" i="64" s="1"/>
  <c r="AJ21" i="64"/>
  <c r="T9" i="77"/>
  <c r="N9" i="64"/>
  <c r="P9" i="64" s="1"/>
  <c r="R11" i="64"/>
  <c r="AJ11" i="64"/>
  <c r="T78" i="77"/>
  <c r="N78" i="64"/>
  <c r="P78" i="64" s="1"/>
  <c r="AJ33" i="64"/>
  <c r="AJ10" i="64"/>
  <c r="AJ47" i="64"/>
  <c r="AJ34" i="64"/>
  <c r="AJ54" i="64"/>
  <c r="T6" i="77"/>
  <c r="N6" i="64"/>
  <c r="P6" i="64" s="1"/>
  <c r="D121" i="64"/>
  <c r="AJ51" i="64"/>
  <c r="AJ40" i="64"/>
  <c r="AJ17" i="64"/>
  <c r="G99" i="64"/>
  <c r="G98" i="64"/>
  <c r="G137" i="64"/>
  <c r="T53" i="77"/>
  <c r="N53" i="64"/>
  <c r="P53" i="64" s="1"/>
  <c r="AJ46" i="64"/>
  <c r="T15" i="77"/>
  <c r="N15" i="64"/>
  <c r="P15" i="64" s="1"/>
  <c r="T35" i="77"/>
  <c r="N35" i="64"/>
  <c r="P35" i="64" s="1"/>
  <c r="R86" i="64"/>
  <c r="Z86" i="64" s="1"/>
  <c r="AJ86" i="64"/>
  <c r="AJ87" i="64"/>
  <c r="R87" i="64"/>
  <c r="Z87" i="64" s="1"/>
  <c r="T41" i="77"/>
  <c r="N41" i="64"/>
  <c r="P41" i="64" s="1"/>
  <c r="R61" i="64"/>
  <c r="Z61" i="64" s="1"/>
  <c r="AJ61" i="64"/>
  <c r="T26" i="77"/>
  <c r="N26" i="64"/>
  <c r="P26" i="64" s="1"/>
  <c r="T49" i="77"/>
  <c r="N49" i="64"/>
  <c r="P49" i="64" s="1"/>
  <c r="AJ68" i="64"/>
  <c r="N96" i="79"/>
  <c r="N102" i="79" s="1"/>
  <c r="Q81" i="79"/>
  <c r="Q96" i="79" s="1"/>
  <c r="AJ81" i="64"/>
  <c r="R81" i="64"/>
  <c r="Z81" i="64" s="1"/>
  <c r="Q93" i="77"/>
  <c r="M95" i="77"/>
  <c r="AJ55" i="64"/>
  <c r="M103" i="79"/>
  <c r="G117" i="64"/>
  <c r="T84" i="77"/>
  <c r="N84" i="64"/>
  <c r="P84" i="64" s="1"/>
  <c r="M76" i="77"/>
  <c r="M91" i="64"/>
  <c r="AJ52" i="64"/>
  <c r="M2" i="77"/>
  <c r="M74" i="64"/>
  <c r="D97" i="64"/>
  <c r="T3" i="77"/>
  <c r="N3" i="64"/>
  <c r="P3" i="64" s="1"/>
  <c r="T31" i="77"/>
  <c r="N31" i="64"/>
  <c r="P31" i="64" s="1"/>
  <c r="AJ44" i="64"/>
  <c r="T23" i="77"/>
  <c r="N23" i="64"/>
  <c r="P23" i="64" s="1"/>
  <c r="R89" i="64"/>
  <c r="Z89" i="64" s="1"/>
  <c r="AJ89" i="64"/>
  <c r="T14" i="77"/>
  <c r="N14" i="64"/>
  <c r="P14" i="64" s="1"/>
  <c r="AJ22" i="64"/>
  <c r="AJ38" i="64"/>
  <c r="AJ27" i="64"/>
  <c r="T79" i="77"/>
  <c r="N79" i="64"/>
  <c r="P79" i="64" s="1"/>
  <c r="AJ37" i="64"/>
  <c r="T43" i="77"/>
  <c r="N43" i="64"/>
  <c r="P43" i="64" s="1"/>
  <c r="AJ29" i="64"/>
  <c r="AX233" i="46"/>
  <c r="AS7" i="46"/>
  <c r="O56" i="46"/>
  <c r="B223" i="46"/>
  <c r="U219" i="46"/>
  <c r="F56" i="46"/>
  <c r="F219" i="46" s="1"/>
  <c r="J56" i="46"/>
  <c r="J218" i="46"/>
  <c r="L61" i="46"/>
  <c r="AQ219" i="46"/>
  <c r="B225" i="46"/>
  <c r="I219" i="46"/>
  <c r="L56" i="46"/>
  <c r="B224" i="46"/>
  <c r="AA219" i="46"/>
  <c r="B234" i="46"/>
  <c r="O69" i="46"/>
  <c r="AS69" i="46" s="1"/>
  <c r="AX69" i="46" s="1"/>
  <c r="B233" i="46"/>
  <c r="AX236" i="46" l="1"/>
  <c r="AX238" i="46" s="1"/>
  <c r="M117" i="64"/>
  <c r="M121" i="64" s="1"/>
  <c r="Q102" i="79"/>
  <c r="Q106" i="79" s="1"/>
  <c r="Q107" i="79" s="1"/>
  <c r="AJ23" i="64"/>
  <c r="O103" i="68"/>
  <c r="O104" i="68" s="1"/>
  <c r="D137" i="64"/>
  <c r="D99" i="64"/>
  <c r="D98" i="64"/>
  <c r="R84" i="64"/>
  <c r="Z84" i="64" s="1"/>
  <c r="AJ84" i="64"/>
  <c r="AJ3" i="64"/>
  <c r="R39" i="64"/>
  <c r="Z39" i="64" s="1"/>
  <c r="AJ39" i="64"/>
  <c r="AJ19" i="64"/>
  <c r="AJ79" i="64"/>
  <c r="R79" i="64"/>
  <c r="Z79" i="64" s="1"/>
  <c r="AJ14" i="64"/>
  <c r="M74" i="77"/>
  <c r="Q2" i="77"/>
  <c r="M97" i="64"/>
  <c r="G118" i="64"/>
  <c r="G121" i="64"/>
  <c r="AJ49" i="64"/>
  <c r="AJ35" i="64"/>
  <c r="AJ6" i="64"/>
  <c r="Z11" i="64"/>
  <c r="AJ31" i="64"/>
  <c r="AJ78" i="64"/>
  <c r="AJ9" i="64"/>
  <c r="AJ42" i="64"/>
  <c r="AJ18" i="64"/>
  <c r="R13" i="64"/>
  <c r="Z13" i="64" s="1"/>
  <c r="AJ13" i="64"/>
  <c r="AJ43" i="64"/>
  <c r="M91" i="77"/>
  <c r="Q76" i="77"/>
  <c r="R93" i="77"/>
  <c r="R95" i="77" s="1"/>
  <c r="Q95" i="77"/>
  <c r="X93" i="77"/>
  <c r="X95" i="77" s="1"/>
  <c r="W93" i="77"/>
  <c r="Z93" i="77"/>
  <c r="Z95" i="77" s="1"/>
  <c r="Y93" i="77"/>
  <c r="Y95" i="77" s="1"/>
  <c r="AB93" i="77"/>
  <c r="AB95" i="77" s="1"/>
  <c r="AA93" i="77"/>
  <c r="AA95" i="77" s="1"/>
  <c r="AJ26" i="64"/>
  <c r="AJ41" i="64"/>
  <c r="AJ15" i="64"/>
  <c r="AJ53" i="64"/>
  <c r="D118" i="64"/>
  <c r="J219" i="46"/>
  <c r="L218" i="46"/>
  <c r="L219" i="46" s="1"/>
  <c r="B235" i="46"/>
  <c r="B236" i="46" s="1"/>
  <c r="O61" i="46"/>
  <c r="AX56" i="46"/>
  <c r="AX219" i="46" s="1"/>
  <c r="AS56" i="46"/>
  <c r="M118" i="64" l="1"/>
  <c r="M97" i="77"/>
  <c r="M99" i="77" s="1"/>
  <c r="Q74" i="77"/>
  <c r="AD2" i="77"/>
  <c r="AD74" i="77" s="1"/>
  <c r="AD97" i="77" s="1"/>
  <c r="R2" i="77"/>
  <c r="R74" i="77" s="1"/>
  <c r="X2" i="77"/>
  <c r="X74" i="77" s="1"/>
  <c r="AA2" i="77"/>
  <c r="AA74" i="77" s="1"/>
  <c r="Y2" i="77"/>
  <c r="Y74" i="77" s="1"/>
  <c r="W2" i="77"/>
  <c r="AB2" i="77"/>
  <c r="AB74" i="77" s="1"/>
  <c r="Z2" i="77"/>
  <c r="Z74" i="77" s="1"/>
  <c r="Q91" i="77"/>
  <c r="R76" i="77"/>
  <c r="R91" i="77" s="1"/>
  <c r="Y76" i="77"/>
  <c r="Y91" i="77" s="1"/>
  <c r="Z76" i="77"/>
  <c r="Z91" i="77" s="1"/>
  <c r="AA76" i="77"/>
  <c r="AA91" i="77" s="1"/>
  <c r="X76" i="77"/>
  <c r="X91" i="77" s="1"/>
  <c r="W76" i="77"/>
  <c r="AB76" i="77"/>
  <c r="AB91" i="77" s="1"/>
  <c r="T93" i="77"/>
  <c r="T95" i="77" s="1"/>
  <c r="W95" i="77"/>
  <c r="N93" i="64"/>
  <c r="M137" i="64"/>
  <c r="M99" i="64"/>
  <c r="M98" i="64"/>
  <c r="O218" i="46"/>
  <c r="AS61" i="46"/>
  <c r="AB97" i="77" l="1"/>
  <c r="X97" i="77"/>
  <c r="N95" i="64"/>
  <c r="P93" i="64"/>
  <c r="W91" i="77"/>
  <c r="T76" i="77"/>
  <c r="T91" i="77" s="1"/>
  <c r="N76" i="64"/>
  <c r="W74" i="77"/>
  <c r="T2" i="77"/>
  <c r="T74" i="77" s="1"/>
  <c r="N2" i="64"/>
  <c r="R97" i="77"/>
  <c r="R99" i="77" s="1"/>
  <c r="Y97" i="77"/>
  <c r="Z97" i="77"/>
  <c r="AA97" i="77"/>
  <c r="Q97" i="77"/>
  <c r="Q99" i="77" s="1"/>
  <c r="AS218" i="46"/>
  <c r="AS219" i="46" s="1"/>
  <c r="AU222" i="46" s="1"/>
  <c r="AX61" i="46"/>
  <c r="AX218" i="46" s="1"/>
  <c r="B222" i="46"/>
  <c r="B228" i="46" s="1"/>
  <c r="B230" i="46" s="1"/>
  <c r="O219" i="46"/>
  <c r="W97" i="77" l="1"/>
  <c r="W99" i="77" s="1"/>
  <c r="T97" i="77"/>
  <c r="T99" i="77" s="1"/>
  <c r="AJ93" i="64"/>
  <c r="AJ95" i="64" s="1"/>
  <c r="P95" i="64"/>
  <c r="N91" i="64"/>
  <c r="P76" i="64"/>
  <c r="N74" i="64"/>
  <c r="P2" i="64"/>
  <c r="N97" i="64" l="1"/>
  <c r="AJ2" i="64"/>
  <c r="AJ74" i="64" s="1"/>
  <c r="P74" i="64"/>
  <c r="R2" i="64"/>
  <c r="R76" i="64"/>
  <c r="P91" i="64"/>
  <c r="AJ76" i="64"/>
  <c r="AJ91" i="64" s="1"/>
  <c r="AJ97" i="64" l="1"/>
  <c r="Z2" i="64"/>
  <c r="P97" i="64"/>
  <c r="Z76" i="64"/>
  <c r="R113" i="64"/>
  <c r="R115" i="64" s="1"/>
  <c r="A110" i="64"/>
  <c r="N99" i="64"/>
  <c r="N98" i="64"/>
  <c r="N117" i="64"/>
  <c r="N121" i="64" s="1"/>
  <c r="N137" i="64"/>
  <c r="O117" i="67" s="1"/>
  <c r="P117" i="67" s="1"/>
  <c r="P119" i="67" s="1"/>
  <c r="P120" i="67" l="1"/>
  <c r="F2" i="67" s="1"/>
  <c r="F3" i="67"/>
  <c r="P151" i="64"/>
  <c r="P137" i="64"/>
  <c r="P117" i="64"/>
  <c r="P121" i="64" s="1"/>
  <c r="A109" i="64"/>
  <c r="P99" i="64"/>
  <c r="P98" i="64"/>
  <c r="C75" i="78" l="1"/>
  <c r="C73" i="78"/>
  <c r="C71" i="78"/>
  <c r="C68" i="78"/>
  <c r="C65" i="78"/>
  <c r="C63" i="78"/>
  <c r="C61" i="78"/>
  <c r="C59" i="78"/>
  <c r="C57" i="78"/>
  <c r="C55" i="78"/>
  <c r="D88" i="78"/>
  <c r="C83" i="78"/>
  <c r="D76" i="78"/>
  <c r="D72" i="78"/>
  <c r="D67" i="78"/>
  <c r="D62" i="78"/>
  <c r="D58" i="78"/>
  <c r="D54" i="78"/>
  <c r="D52" i="78"/>
  <c r="D50" i="78"/>
  <c r="D48" i="78"/>
  <c r="D46" i="78"/>
  <c r="D43" i="78"/>
  <c r="D41" i="78"/>
  <c r="D39" i="78"/>
  <c r="D37" i="78"/>
  <c r="D34" i="78"/>
  <c r="I87" i="78"/>
  <c r="H82" i="78"/>
  <c r="D75" i="78"/>
  <c r="D71" i="78"/>
  <c r="D65" i="78"/>
  <c r="D61" i="78"/>
  <c r="D57" i="78"/>
  <c r="G53" i="78"/>
  <c r="G51" i="78"/>
  <c r="G49" i="78"/>
  <c r="G47" i="78"/>
  <c r="G45" i="78"/>
  <c r="G42" i="78"/>
  <c r="G40" i="78"/>
  <c r="G38" i="78"/>
  <c r="G36" i="78"/>
  <c r="G33" i="78"/>
  <c r="G31" i="78"/>
  <c r="G29" i="78"/>
  <c r="G27" i="78"/>
  <c r="G25" i="78"/>
  <c r="G23" i="78"/>
  <c r="G21" i="78"/>
  <c r="G19" i="78"/>
  <c r="G15" i="78"/>
  <c r="G13" i="78"/>
  <c r="G11" i="78"/>
  <c r="H87" i="78"/>
  <c r="E83" i="78"/>
  <c r="D74" i="78"/>
  <c r="D70" i="78"/>
  <c r="D64" i="78"/>
  <c r="D60" i="78"/>
  <c r="D56" i="78"/>
  <c r="H85" i="78"/>
  <c r="H60" i="78"/>
  <c r="I49" i="78"/>
  <c r="I40" i="78"/>
  <c r="H33" i="78"/>
  <c r="H29" i="78"/>
  <c r="H25" i="78"/>
  <c r="H21" i="78"/>
  <c r="H15" i="78"/>
  <c r="H11" i="78"/>
  <c r="D9" i="78"/>
  <c r="E76" i="78"/>
  <c r="E58" i="78"/>
  <c r="E49" i="78"/>
  <c r="E40" i="78"/>
  <c r="I32" i="78"/>
  <c r="I28" i="78"/>
  <c r="I24" i="78"/>
  <c r="I20" i="78"/>
  <c r="I14" i="78"/>
  <c r="G10" i="78"/>
  <c r="D8" i="78"/>
  <c r="H70" i="78"/>
  <c r="I51" i="78"/>
  <c r="I42" i="78"/>
  <c r="D33" i="78"/>
  <c r="D29" i="78"/>
  <c r="D25" i="78"/>
  <c r="D21" i="78"/>
  <c r="D15" i="78"/>
  <c r="D11" i="78"/>
  <c r="C8" i="78"/>
  <c r="E38" i="78"/>
  <c r="I19" i="78"/>
  <c r="H97" i="78"/>
  <c r="H99" i="78" s="1"/>
  <c r="I29" i="78"/>
  <c r="I11" i="78"/>
  <c r="E47" i="78"/>
  <c r="I23" i="78"/>
  <c r="E9" i="78"/>
  <c r="H64" i="78"/>
  <c r="I10" i="78"/>
  <c r="G76" i="78"/>
  <c r="G74" i="78"/>
  <c r="G72" i="78"/>
  <c r="G70" i="78"/>
  <c r="G67" i="78"/>
  <c r="G64" i="78"/>
  <c r="G62" i="78"/>
  <c r="G60" i="78"/>
  <c r="G58" i="78"/>
  <c r="G56" i="78"/>
  <c r="G54" i="78"/>
  <c r="E87" i="78"/>
  <c r="I82" i="78"/>
  <c r="E75" i="78"/>
  <c r="E71" i="78"/>
  <c r="E65" i="78"/>
  <c r="E61" i="78"/>
  <c r="E57" i="78"/>
  <c r="H53" i="78"/>
  <c r="H51" i="78"/>
  <c r="H49" i="78"/>
  <c r="H47" i="78"/>
  <c r="H45" i="78"/>
  <c r="H42" i="78"/>
  <c r="H40" i="78"/>
  <c r="H38" i="78"/>
  <c r="H36" i="78"/>
  <c r="E97" i="78"/>
  <c r="D87" i="78"/>
  <c r="C82" i="78"/>
  <c r="E74" i="78"/>
  <c r="E70" i="78"/>
  <c r="E64" i="78"/>
  <c r="E60" i="78"/>
  <c r="E56" i="78"/>
  <c r="C53" i="78"/>
  <c r="C51" i="78"/>
  <c r="C49" i="78"/>
  <c r="C47" i="78"/>
  <c r="C45" i="78"/>
  <c r="C42" i="78"/>
  <c r="C40" i="78"/>
  <c r="C38" i="78"/>
  <c r="C36" i="78"/>
  <c r="C33" i="78"/>
  <c r="C31" i="78"/>
  <c r="C29" i="78"/>
  <c r="C27" i="78"/>
  <c r="C25" i="78"/>
  <c r="C23" i="78"/>
  <c r="C21" i="78"/>
  <c r="C19" i="78"/>
  <c r="C15" i="78"/>
  <c r="C13" i="78"/>
  <c r="I97" i="78"/>
  <c r="I99" i="78" s="1"/>
  <c r="C87" i="78"/>
  <c r="G82" i="78"/>
  <c r="E73" i="78"/>
  <c r="E68" i="78"/>
  <c r="E63" i="78"/>
  <c r="E59" i="78"/>
  <c r="E55" i="78"/>
  <c r="D73" i="78"/>
  <c r="D55" i="78"/>
  <c r="E48" i="78"/>
  <c r="E39" i="78"/>
  <c r="D32" i="78"/>
  <c r="D28" i="78"/>
  <c r="D24" i="78"/>
  <c r="D20" i="78"/>
  <c r="D14" i="78"/>
  <c r="H10" i="78"/>
  <c r="E8" i="78"/>
  <c r="H74" i="78"/>
  <c r="H56" i="78"/>
  <c r="I46" i="78"/>
  <c r="I37" i="78"/>
  <c r="E31" i="78"/>
  <c r="E27" i="78"/>
  <c r="E23" i="78"/>
  <c r="E19" i="78"/>
  <c r="E13" i="78"/>
  <c r="H9" i="78"/>
  <c r="G87" i="78"/>
  <c r="D63" i="78"/>
  <c r="E50" i="78"/>
  <c r="E41" i="78"/>
  <c r="H32" i="78"/>
  <c r="H28" i="78"/>
  <c r="H24" i="78"/>
  <c r="H20" i="78"/>
  <c r="H14" i="78"/>
  <c r="E10" i="78"/>
  <c r="D83" i="78"/>
  <c r="E30" i="78"/>
  <c r="E12" i="78"/>
  <c r="I48" i="78"/>
  <c r="E24" i="78"/>
  <c r="E67" i="78"/>
  <c r="I34" i="78"/>
  <c r="E17" i="78"/>
  <c r="I73" i="78"/>
  <c r="I39" i="78"/>
  <c r="E51" i="78"/>
  <c r="C76" i="78"/>
  <c r="C74" i="78"/>
  <c r="C72" i="78"/>
  <c r="C70" i="78"/>
  <c r="C67" i="78"/>
  <c r="C64" i="78"/>
  <c r="C62" i="78"/>
  <c r="C60" i="78"/>
  <c r="C58" i="78"/>
  <c r="C56" i="78"/>
  <c r="G97" i="78"/>
  <c r="G99" i="78" s="1"/>
  <c r="G85" i="78"/>
  <c r="D82" i="78"/>
  <c r="H73" i="78"/>
  <c r="H68" i="78"/>
  <c r="H63" i="78"/>
  <c r="H59" i="78"/>
  <c r="H55" i="78"/>
  <c r="D53" i="78"/>
  <c r="D51" i="78"/>
  <c r="K51" i="78" s="1"/>
  <c r="D49" i="78"/>
  <c r="K49" i="78" s="1"/>
  <c r="D47" i="78"/>
  <c r="D45" i="78"/>
  <c r="D42" i="78"/>
  <c r="D40" i="78"/>
  <c r="D38" i="78"/>
  <c r="K38" i="78" s="1"/>
  <c r="D36" i="78"/>
  <c r="K36" i="78" s="1"/>
  <c r="H88" i="78"/>
  <c r="E85" i="78"/>
  <c r="H76" i="78"/>
  <c r="H72" i="78"/>
  <c r="H67" i="78"/>
  <c r="H62" i="78"/>
  <c r="H58" i="78"/>
  <c r="H54" i="78"/>
  <c r="G52" i="78"/>
  <c r="G50" i="78"/>
  <c r="G48" i="78"/>
  <c r="G46" i="78"/>
  <c r="G43" i="78"/>
  <c r="G41" i="78"/>
  <c r="G39" i="78"/>
  <c r="G37" i="78"/>
  <c r="G34" i="78"/>
  <c r="G32" i="78"/>
  <c r="G30" i="78"/>
  <c r="G28" i="78"/>
  <c r="G26" i="78"/>
  <c r="G24" i="78"/>
  <c r="G22" i="78"/>
  <c r="G20" i="78"/>
  <c r="G17" i="78"/>
  <c r="G14" i="78"/>
  <c r="G12" i="78"/>
  <c r="D97" i="78"/>
  <c r="I85" i="78"/>
  <c r="H75" i="78"/>
  <c r="H71" i="78"/>
  <c r="H65" i="78"/>
  <c r="H61" i="78"/>
  <c r="H57" i="78"/>
  <c r="C97" i="78"/>
  <c r="I68" i="78"/>
  <c r="I53" i="78"/>
  <c r="I45" i="78"/>
  <c r="I36" i="78"/>
  <c r="H31" i="78"/>
  <c r="H27" i="78"/>
  <c r="H23" i="78"/>
  <c r="H19" i="78"/>
  <c r="H13" i="78"/>
  <c r="C10" i="78"/>
  <c r="C85" i="78"/>
  <c r="D68" i="78"/>
  <c r="E53" i="78"/>
  <c r="E45" i="78"/>
  <c r="E36" i="78"/>
  <c r="I30" i="78"/>
  <c r="I26" i="78"/>
  <c r="I22" i="78"/>
  <c r="I17" i="78"/>
  <c r="I12" i="78"/>
  <c r="C9" i="78"/>
  <c r="I83" i="78"/>
  <c r="I59" i="78"/>
  <c r="I47" i="78"/>
  <c r="I38" i="78"/>
  <c r="D31" i="78"/>
  <c r="D27" i="78"/>
  <c r="D23" i="78"/>
  <c r="D19" i="78"/>
  <c r="D13" i="78"/>
  <c r="G9" i="78"/>
  <c r="I55" i="78"/>
  <c r="I27" i="78"/>
  <c r="D10" i="78"/>
  <c r="E42" i="78"/>
  <c r="I21" i="78"/>
  <c r="D59" i="78"/>
  <c r="I31" i="78"/>
  <c r="I13" i="78"/>
  <c r="E28" i="78"/>
  <c r="I25" i="78"/>
  <c r="G75" i="78"/>
  <c r="G73" i="78"/>
  <c r="G71" i="78"/>
  <c r="G68" i="78"/>
  <c r="G65" i="78"/>
  <c r="G63" i="78"/>
  <c r="G61" i="78"/>
  <c r="G59" i="78"/>
  <c r="G57" i="78"/>
  <c r="G55" i="78"/>
  <c r="I88" i="78"/>
  <c r="H83" i="78"/>
  <c r="I76" i="78"/>
  <c r="I72" i="78"/>
  <c r="I67" i="78"/>
  <c r="I62" i="78"/>
  <c r="I58" i="78"/>
  <c r="I54" i="78"/>
  <c r="H52" i="78"/>
  <c r="H50" i="78"/>
  <c r="H48" i="78"/>
  <c r="H46" i="78"/>
  <c r="H43" i="78"/>
  <c r="H41" i="78"/>
  <c r="H39" i="78"/>
  <c r="H37" i="78"/>
  <c r="H34" i="78"/>
  <c r="C88" i="78"/>
  <c r="G83" i="78"/>
  <c r="I75" i="78"/>
  <c r="I71" i="78"/>
  <c r="I65" i="78"/>
  <c r="I61" i="78"/>
  <c r="I57" i="78"/>
  <c r="C54" i="78"/>
  <c r="C52" i="78"/>
  <c r="C50" i="78"/>
  <c r="C48" i="78"/>
  <c r="C46" i="78"/>
  <c r="C43" i="78"/>
  <c r="C41" i="78"/>
  <c r="C39" i="78"/>
  <c r="C37" i="78"/>
  <c r="C34" i="78"/>
  <c r="C32" i="78"/>
  <c r="C30" i="78"/>
  <c r="C28" i="78"/>
  <c r="C26" i="78"/>
  <c r="C24" i="78"/>
  <c r="C22" i="78"/>
  <c r="C20" i="78"/>
  <c r="C17" i="78"/>
  <c r="C14" i="78"/>
  <c r="C12" i="78"/>
  <c r="G88" i="78"/>
  <c r="D85" i="78"/>
  <c r="K85" i="78" s="1"/>
  <c r="I74" i="78"/>
  <c r="I70" i="78"/>
  <c r="I64" i="78"/>
  <c r="I60" i="78"/>
  <c r="I56" i="78"/>
  <c r="E88" i="78"/>
  <c r="E62" i="78"/>
  <c r="E52" i="78"/>
  <c r="E43" i="78"/>
  <c r="E34" i="78"/>
  <c r="D30" i="78"/>
  <c r="D26" i="78"/>
  <c r="D22" i="78"/>
  <c r="D17" i="78"/>
  <c r="D12" i="78"/>
  <c r="I9" i="78"/>
  <c r="E82" i="78"/>
  <c r="I63" i="78"/>
  <c r="I50" i="78"/>
  <c r="I41" i="78"/>
  <c r="E33" i="78"/>
  <c r="E29" i="78"/>
  <c r="E25" i="78"/>
  <c r="E21" i="78"/>
  <c r="E15" i="78"/>
  <c r="E11" i="78"/>
  <c r="I8" i="78"/>
  <c r="E72" i="78"/>
  <c r="E54" i="78"/>
  <c r="E46" i="78"/>
  <c r="E37" i="78"/>
  <c r="H30" i="78"/>
  <c r="H26" i="78"/>
  <c r="H22" i="78"/>
  <c r="H17" i="78"/>
  <c r="H12" i="78"/>
  <c r="H8" i="78"/>
  <c r="I43" i="78"/>
  <c r="E22" i="78"/>
  <c r="G8" i="78"/>
  <c r="E32" i="78"/>
  <c r="E14" i="78"/>
  <c r="I52" i="78"/>
  <c r="E26" i="78"/>
  <c r="C11" i="78"/>
  <c r="I15" i="78"/>
  <c r="I33" i="78"/>
  <c r="E20" i="78"/>
  <c r="K45" i="78" l="1"/>
  <c r="K40" i="78"/>
  <c r="K10" i="78"/>
  <c r="L26" i="78"/>
  <c r="K97" i="78"/>
  <c r="K99" i="78" s="1"/>
  <c r="J97" i="78"/>
  <c r="K53" i="78"/>
  <c r="L42" i="78"/>
  <c r="K47" i="78"/>
  <c r="K42" i="78"/>
  <c r="L11" i="78"/>
  <c r="L46" i="78"/>
  <c r="L34" i="78"/>
  <c r="L14" i="78"/>
  <c r="L29" i="78"/>
  <c r="L40" i="78"/>
  <c r="L32" i="78"/>
  <c r="L51" i="78"/>
  <c r="K21" i="78"/>
  <c r="L88" i="78"/>
  <c r="K27" i="78"/>
  <c r="L10" i="78"/>
  <c r="L19" i="78"/>
  <c r="K87" i="78"/>
  <c r="K11" i="78"/>
  <c r="K29" i="78"/>
  <c r="L21" i="78"/>
  <c r="K19" i="78"/>
  <c r="K13" i="78"/>
  <c r="K31" i="78"/>
  <c r="K15" i="78"/>
  <c r="K33" i="78"/>
  <c r="L28" i="78"/>
  <c r="L24" i="78"/>
  <c r="L45" i="78"/>
  <c r="L23" i="78"/>
  <c r="L87" i="78"/>
  <c r="L49" i="78"/>
  <c r="L54" i="78"/>
  <c r="K22" i="78"/>
  <c r="L20" i="78"/>
  <c r="L15" i="78"/>
  <c r="L72" i="78"/>
  <c r="K59" i="78"/>
  <c r="L22" i="78"/>
  <c r="L37" i="78"/>
  <c r="L25" i="78"/>
  <c r="L62" i="78"/>
  <c r="K23" i="78"/>
  <c r="K68" i="78"/>
  <c r="K25" i="78"/>
  <c r="K17" i="78"/>
  <c r="J12" i="78"/>
  <c r="F12" i="78"/>
  <c r="J22" i="78"/>
  <c r="F22" i="78"/>
  <c r="J30" i="78"/>
  <c r="F30" i="78"/>
  <c r="J39" i="78"/>
  <c r="F39" i="78"/>
  <c r="J48" i="78"/>
  <c r="F48" i="78"/>
  <c r="L36" i="78"/>
  <c r="J85" i="78"/>
  <c r="F85" i="78"/>
  <c r="L85" i="78"/>
  <c r="K82" i="78"/>
  <c r="D95" i="78"/>
  <c r="F58" i="78"/>
  <c r="J58" i="78"/>
  <c r="F67" i="78"/>
  <c r="J67" i="78"/>
  <c r="F76" i="78"/>
  <c r="J76" i="78"/>
  <c r="L17" i="78"/>
  <c r="K63" i="78"/>
  <c r="E79" i="78"/>
  <c r="L8" i="78"/>
  <c r="K24" i="78"/>
  <c r="L48" i="78"/>
  <c r="L59" i="78"/>
  <c r="G95" i="78"/>
  <c r="G101" i="78" s="1"/>
  <c r="G105" i="78" s="1"/>
  <c r="J15" i="78"/>
  <c r="F15" i="78"/>
  <c r="J25" i="78"/>
  <c r="F25" i="78"/>
  <c r="J33" i="78"/>
  <c r="F33" i="78"/>
  <c r="J42" i="78"/>
  <c r="F42" i="78"/>
  <c r="J51" i="78"/>
  <c r="F51" i="78"/>
  <c r="L64" i="78"/>
  <c r="L61" i="78"/>
  <c r="I95" i="78"/>
  <c r="I101" i="78" s="1"/>
  <c r="I105" i="78" s="1"/>
  <c r="K9" i="78"/>
  <c r="K60" i="78"/>
  <c r="L83" i="78"/>
  <c r="K65" i="78"/>
  <c r="K41" i="78"/>
  <c r="K50" i="78"/>
  <c r="K62" i="78"/>
  <c r="J83" i="78"/>
  <c r="F83" i="78"/>
  <c r="F59" i="78"/>
  <c r="J59" i="78"/>
  <c r="F68" i="78"/>
  <c r="J68" i="78"/>
  <c r="L33" i="78"/>
  <c r="E95" i="78"/>
  <c r="L82" i="78"/>
  <c r="L43" i="78"/>
  <c r="J14" i="78"/>
  <c r="F14" i="78"/>
  <c r="J24" i="78"/>
  <c r="F24" i="78"/>
  <c r="J32" i="78"/>
  <c r="F32" i="78"/>
  <c r="J41" i="78"/>
  <c r="F41" i="78"/>
  <c r="J50" i="78"/>
  <c r="F50" i="78"/>
  <c r="J10" i="78"/>
  <c r="F10" i="78"/>
  <c r="F60" i="78"/>
  <c r="J60" i="78"/>
  <c r="F70" i="78"/>
  <c r="J70" i="78"/>
  <c r="L12" i="78"/>
  <c r="K28" i="78"/>
  <c r="K55" i="78"/>
  <c r="L63" i="78"/>
  <c r="J87" i="78"/>
  <c r="F87" i="78"/>
  <c r="J19" i="78"/>
  <c r="F19" i="78"/>
  <c r="J27" i="78"/>
  <c r="F27" i="78"/>
  <c r="J36" i="78"/>
  <c r="F36" i="78"/>
  <c r="J45" i="78"/>
  <c r="F45" i="78"/>
  <c r="J53" i="78"/>
  <c r="F53" i="78"/>
  <c r="L70" i="78"/>
  <c r="E99" i="78"/>
  <c r="L97" i="78"/>
  <c r="L99" i="78" s="1"/>
  <c r="L65" i="78"/>
  <c r="L47" i="78"/>
  <c r="K8" i="78"/>
  <c r="D79" i="78"/>
  <c r="K64" i="78"/>
  <c r="K71" i="78"/>
  <c r="K34" i="78"/>
  <c r="K43" i="78"/>
  <c r="K52" i="78"/>
  <c r="K67" i="78"/>
  <c r="K88" i="78"/>
  <c r="J61" i="78"/>
  <c r="F61" i="78"/>
  <c r="J71" i="78"/>
  <c r="F71" i="78"/>
  <c r="J11" i="78"/>
  <c r="F11" i="78"/>
  <c r="K26" i="78"/>
  <c r="L52" i="78"/>
  <c r="J17" i="78"/>
  <c r="F17" i="78"/>
  <c r="J26" i="78"/>
  <c r="F26" i="78"/>
  <c r="J34" i="78"/>
  <c r="F34" i="78"/>
  <c r="J43" i="78"/>
  <c r="F43" i="78"/>
  <c r="J52" i="78"/>
  <c r="F52" i="78"/>
  <c r="J88" i="78"/>
  <c r="F88" i="78"/>
  <c r="J9" i="78"/>
  <c r="F9" i="78"/>
  <c r="L53" i="78"/>
  <c r="D99" i="78"/>
  <c r="F62" i="78"/>
  <c r="J62" i="78"/>
  <c r="F72" i="78"/>
  <c r="J72" i="78"/>
  <c r="L67" i="78"/>
  <c r="L30" i="78"/>
  <c r="L41" i="78"/>
  <c r="L27" i="78"/>
  <c r="K14" i="78"/>
  <c r="K32" i="78"/>
  <c r="K73" i="78"/>
  <c r="L68" i="78"/>
  <c r="J21" i="78"/>
  <c r="F21" i="78"/>
  <c r="J29" i="78"/>
  <c r="F29" i="78"/>
  <c r="J38" i="78"/>
  <c r="F38" i="78"/>
  <c r="J47" i="78"/>
  <c r="F47" i="78"/>
  <c r="L56" i="78"/>
  <c r="L74" i="78"/>
  <c r="L71" i="78"/>
  <c r="L38" i="78"/>
  <c r="L58" i="78"/>
  <c r="K70" i="78"/>
  <c r="K57" i="78"/>
  <c r="K75" i="78"/>
  <c r="K37" i="78"/>
  <c r="K46" i="78"/>
  <c r="K54" i="78"/>
  <c r="K72" i="78"/>
  <c r="F55" i="78"/>
  <c r="J55" i="78"/>
  <c r="F63" i="78"/>
  <c r="J63" i="78"/>
  <c r="F73" i="78"/>
  <c r="J73" i="78"/>
  <c r="K12" i="78"/>
  <c r="K30" i="78"/>
  <c r="J20" i="78"/>
  <c r="F20" i="78"/>
  <c r="J28" i="78"/>
  <c r="F28" i="78"/>
  <c r="J37" i="78"/>
  <c r="F37" i="78"/>
  <c r="J46" i="78"/>
  <c r="F46" i="78"/>
  <c r="F54" i="78"/>
  <c r="J54" i="78"/>
  <c r="F97" i="78"/>
  <c r="F99" i="78" s="1"/>
  <c r="C99" i="78"/>
  <c r="F56" i="78"/>
  <c r="J56" i="78"/>
  <c r="F64" i="78"/>
  <c r="J64" i="78"/>
  <c r="F74" i="78"/>
  <c r="J74" i="78"/>
  <c r="K83" i="78"/>
  <c r="L50" i="78"/>
  <c r="L13" i="78"/>
  <c r="L31" i="78"/>
  <c r="K20" i="78"/>
  <c r="L39" i="78"/>
  <c r="L55" i="78"/>
  <c r="L73" i="78"/>
  <c r="J13" i="78"/>
  <c r="F13" i="78"/>
  <c r="J23" i="78"/>
  <c r="F23" i="78"/>
  <c r="J31" i="78"/>
  <c r="F31" i="78"/>
  <c r="J40" i="78"/>
  <c r="F40" i="78"/>
  <c r="J49" i="78"/>
  <c r="F49" i="78"/>
  <c r="L60" i="78"/>
  <c r="J82" i="78"/>
  <c r="F82" i="78"/>
  <c r="C95" i="78"/>
  <c r="L57" i="78"/>
  <c r="L75" i="78"/>
  <c r="L9" i="78"/>
  <c r="C79" i="78"/>
  <c r="J8" i="78"/>
  <c r="F8" i="78"/>
  <c r="L76" i="78"/>
  <c r="K56" i="78"/>
  <c r="K74" i="78"/>
  <c r="K61" i="78"/>
  <c r="H95" i="78"/>
  <c r="H101" i="78" s="1"/>
  <c r="H105" i="78" s="1"/>
  <c r="K39" i="78"/>
  <c r="K48" i="78"/>
  <c r="K58" i="78"/>
  <c r="K76" i="78"/>
  <c r="J57" i="78"/>
  <c r="F57" i="78"/>
  <c r="J65" i="78"/>
  <c r="F65" i="78"/>
  <c r="J75" i="78"/>
  <c r="F75" i="78"/>
  <c r="N2" i="32"/>
  <c r="Q2" i="32" s="1"/>
  <c r="E101" i="78" l="1"/>
  <c r="E105" i="78" s="1"/>
  <c r="D101" i="78"/>
  <c r="D105" i="78" s="1"/>
  <c r="N75" i="78"/>
  <c r="Q70" i="64" s="1"/>
  <c r="R70" i="64" s="1"/>
  <c r="Z70" i="64" s="1"/>
  <c r="M75" i="78"/>
  <c r="N37" i="78"/>
  <c r="Q32" i="64" s="1"/>
  <c r="R32" i="64" s="1"/>
  <c r="Z32" i="64" s="1"/>
  <c r="M37" i="78"/>
  <c r="N38" i="78"/>
  <c r="Q33" i="64" s="1"/>
  <c r="R33" i="64" s="1"/>
  <c r="Z33" i="64" s="1"/>
  <c r="M38" i="78"/>
  <c r="K79" i="78"/>
  <c r="M59" i="78"/>
  <c r="N59" i="78"/>
  <c r="Q54" i="64" s="1"/>
  <c r="R54" i="64" s="1"/>
  <c r="Z54" i="64" s="1"/>
  <c r="N51" i="78"/>
  <c r="Q46" i="64" s="1"/>
  <c r="R46" i="64" s="1"/>
  <c r="Z46" i="64" s="1"/>
  <c r="M51" i="78"/>
  <c r="N33" i="78"/>
  <c r="Q28" i="64" s="1"/>
  <c r="R28" i="64" s="1"/>
  <c r="Z28" i="64" s="1"/>
  <c r="M33" i="78"/>
  <c r="N15" i="78"/>
  <c r="Q10" i="64" s="1"/>
  <c r="R10" i="64" s="1"/>
  <c r="Z10" i="64" s="1"/>
  <c r="M15" i="78"/>
  <c r="K95" i="78"/>
  <c r="N39" i="78"/>
  <c r="Q34" i="64" s="1"/>
  <c r="R34" i="64" s="1"/>
  <c r="Z34" i="64" s="1"/>
  <c r="M39" i="78"/>
  <c r="N22" i="78"/>
  <c r="Q17" i="64" s="1"/>
  <c r="R17" i="64" s="1"/>
  <c r="Z17" i="64" s="1"/>
  <c r="M22" i="78"/>
  <c r="C101" i="78"/>
  <c r="C105" i="78" s="1"/>
  <c r="F95" i="78"/>
  <c r="N49" i="78"/>
  <c r="Q44" i="64" s="1"/>
  <c r="R44" i="64" s="1"/>
  <c r="Z44" i="64" s="1"/>
  <c r="M49" i="78"/>
  <c r="N31" i="78"/>
  <c r="Q26" i="64" s="1"/>
  <c r="R26" i="64" s="1"/>
  <c r="Z26" i="64" s="1"/>
  <c r="M31" i="78"/>
  <c r="N13" i="78"/>
  <c r="Q8" i="64" s="1"/>
  <c r="R8" i="64" s="1"/>
  <c r="Z8" i="64" s="1"/>
  <c r="M13" i="78"/>
  <c r="M63" i="78"/>
  <c r="N63" i="78"/>
  <c r="Q58" i="64" s="1"/>
  <c r="R58" i="64" s="1"/>
  <c r="Z58" i="64" s="1"/>
  <c r="N88" i="78"/>
  <c r="Q83" i="64" s="1"/>
  <c r="R83" i="64" s="1"/>
  <c r="Z83" i="64" s="1"/>
  <c r="M88" i="78"/>
  <c r="N43" i="78"/>
  <c r="Q38" i="64" s="1"/>
  <c r="R38" i="64" s="1"/>
  <c r="Z38" i="64" s="1"/>
  <c r="M43" i="78"/>
  <c r="N26" i="78"/>
  <c r="Q21" i="64" s="1"/>
  <c r="R21" i="64" s="1"/>
  <c r="Z21" i="64" s="1"/>
  <c r="M26" i="78"/>
  <c r="N71" i="78"/>
  <c r="Q66" i="64" s="1"/>
  <c r="R66" i="64" s="1"/>
  <c r="Z66" i="64" s="1"/>
  <c r="M71" i="78"/>
  <c r="N45" i="78"/>
  <c r="Q40" i="64" s="1"/>
  <c r="R40" i="64" s="1"/>
  <c r="Z40" i="64" s="1"/>
  <c r="M45" i="78"/>
  <c r="N27" i="78"/>
  <c r="Q22" i="64" s="1"/>
  <c r="R22" i="64" s="1"/>
  <c r="Z22" i="64" s="1"/>
  <c r="M27" i="78"/>
  <c r="N87" i="78"/>
  <c r="Q82" i="64" s="1"/>
  <c r="R82" i="64" s="1"/>
  <c r="Z82" i="64" s="1"/>
  <c r="M87" i="78"/>
  <c r="N50" i="78"/>
  <c r="Q45" i="64" s="1"/>
  <c r="R45" i="64" s="1"/>
  <c r="Z45" i="64" s="1"/>
  <c r="M50" i="78"/>
  <c r="N32" i="78"/>
  <c r="Q27" i="64" s="1"/>
  <c r="R27" i="64" s="1"/>
  <c r="Z27" i="64" s="1"/>
  <c r="M32" i="78"/>
  <c r="N14" i="78"/>
  <c r="Q9" i="64" s="1"/>
  <c r="R9" i="64" s="1"/>
  <c r="Z9" i="64" s="1"/>
  <c r="M14" i="78"/>
  <c r="L79" i="78"/>
  <c r="N76" i="78"/>
  <c r="Q71" i="64" s="1"/>
  <c r="R71" i="64" s="1"/>
  <c r="Z71" i="64" s="1"/>
  <c r="M76" i="78"/>
  <c r="N58" i="78"/>
  <c r="Q53" i="64" s="1"/>
  <c r="R53" i="64" s="1"/>
  <c r="Z53" i="64" s="1"/>
  <c r="M58" i="78"/>
  <c r="N64" i="78"/>
  <c r="Q59" i="64" s="1"/>
  <c r="R59" i="64" s="1"/>
  <c r="Z59" i="64" s="1"/>
  <c r="M64" i="78"/>
  <c r="N20" i="78"/>
  <c r="Q15" i="64" s="1"/>
  <c r="R15" i="64" s="1"/>
  <c r="Z15" i="64" s="1"/>
  <c r="M20" i="78"/>
  <c r="N62" i="78"/>
  <c r="Q57" i="64" s="1"/>
  <c r="R57" i="64" s="1"/>
  <c r="Z57" i="64" s="1"/>
  <c r="M62" i="78"/>
  <c r="N65" i="78"/>
  <c r="Q60" i="64" s="1"/>
  <c r="R60" i="64" s="1"/>
  <c r="Z60" i="64" s="1"/>
  <c r="M65" i="78"/>
  <c r="F79" i="78"/>
  <c r="J95" i="78"/>
  <c r="N82" i="78"/>
  <c r="M82" i="78"/>
  <c r="N74" i="78"/>
  <c r="Q69" i="64" s="1"/>
  <c r="R69" i="64" s="1"/>
  <c r="Z69" i="64" s="1"/>
  <c r="M74" i="78"/>
  <c r="N56" i="78"/>
  <c r="Q51" i="64" s="1"/>
  <c r="R51" i="64" s="1"/>
  <c r="Z51" i="64" s="1"/>
  <c r="M56" i="78"/>
  <c r="J99" i="78"/>
  <c r="N97" i="78"/>
  <c r="M97" i="78"/>
  <c r="M99" i="78" s="1"/>
  <c r="N46" i="78"/>
  <c r="Q41" i="64" s="1"/>
  <c r="R41" i="64" s="1"/>
  <c r="Z41" i="64" s="1"/>
  <c r="M46" i="78"/>
  <c r="N28" i="78"/>
  <c r="Q23" i="64" s="1"/>
  <c r="R23" i="64" s="1"/>
  <c r="Z23" i="64" s="1"/>
  <c r="M28" i="78"/>
  <c r="N47" i="78"/>
  <c r="Q42" i="64" s="1"/>
  <c r="R42" i="64" s="1"/>
  <c r="Z42" i="64" s="1"/>
  <c r="M47" i="78"/>
  <c r="N29" i="78"/>
  <c r="Q24" i="64" s="1"/>
  <c r="R24" i="64" s="1"/>
  <c r="Z24" i="64" s="1"/>
  <c r="M29" i="78"/>
  <c r="N72" i="78"/>
  <c r="Q67" i="64" s="1"/>
  <c r="R67" i="64" s="1"/>
  <c r="Z67" i="64" s="1"/>
  <c r="M72" i="78"/>
  <c r="N70" i="78"/>
  <c r="Q65" i="64" s="1"/>
  <c r="R65" i="64" s="1"/>
  <c r="Z65" i="64" s="1"/>
  <c r="M70" i="78"/>
  <c r="M68" i="78"/>
  <c r="N68" i="78"/>
  <c r="Q63" i="64" s="1"/>
  <c r="R63" i="64" s="1"/>
  <c r="Z63" i="64" s="1"/>
  <c r="N42" i="78"/>
  <c r="Q37" i="64" s="1"/>
  <c r="R37" i="64" s="1"/>
  <c r="Z37" i="64" s="1"/>
  <c r="M42" i="78"/>
  <c r="N25" i="78"/>
  <c r="Q20" i="64" s="1"/>
  <c r="R20" i="64" s="1"/>
  <c r="Z20" i="64" s="1"/>
  <c r="M25" i="78"/>
  <c r="N48" i="78"/>
  <c r="Q43" i="64" s="1"/>
  <c r="R43" i="64" s="1"/>
  <c r="Z43" i="64" s="1"/>
  <c r="M48" i="78"/>
  <c r="N30" i="78"/>
  <c r="Q25" i="64" s="1"/>
  <c r="R25" i="64" s="1"/>
  <c r="Z25" i="64" s="1"/>
  <c r="M30" i="78"/>
  <c r="N12" i="78"/>
  <c r="Q7" i="64" s="1"/>
  <c r="R7" i="64" s="1"/>
  <c r="Z7" i="64" s="1"/>
  <c r="M12" i="78"/>
  <c r="N57" i="78"/>
  <c r="Q52" i="64" s="1"/>
  <c r="R52" i="64" s="1"/>
  <c r="Z52" i="64" s="1"/>
  <c r="M57" i="78"/>
  <c r="N21" i="78"/>
  <c r="Q16" i="64" s="1"/>
  <c r="R16" i="64" s="1"/>
  <c r="Z16" i="64" s="1"/>
  <c r="M21" i="78"/>
  <c r="N60" i="78"/>
  <c r="Q55" i="64" s="1"/>
  <c r="R55" i="64" s="1"/>
  <c r="Z55" i="64" s="1"/>
  <c r="M60" i="78"/>
  <c r="J79" i="78"/>
  <c r="N8" i="78"/>
  <c r="M8" i="78"/>
  <c r="N40" i="78"/>
  <c r="Q35" i="64" s="1"/>
  <c r="R35" i="64" s="1"/>
  <c r="Z35" i="64" s="1"/>
  <c r="M40" i="78"/>
  <c r="N23" i="78"/>
  <c r="Q18" i="64" s="1"/>
  <c r="R18" i="64" s="1"/>
  <c r="Z18" i="64" s="1"/>
  <c r="M23" i="78"/>
  <c r="N54" i="78"/>
  <c r="Q49" i="64" s="1"/>
  <c r="R49" i="64" s="1"/>
  <c r="Z49" i="64" s="1"/>
  <c r="M54" i="78"/>
  <c r="M73" i="78"/>
  <c r="N73" i="78"/>
  <c r="Q68" i="64" s="1"/>
  <c r="R68" i="64" s="1"/>
  <c r="Z68" i="64" s="1"/>
  <c r="M55" i="78"/>
  <c r="N55" i="78"/>
  <c r="Q50" i="64" s="1"/>
  <c r="R50" i="64" s="1"/>
  <c r="Z50" i="64" s="1"/>
  <c r="N9" i="78"/>
  <c r="Q4" i="64" s="1"/>
  <c r="R4" i="64" s="1"/>
  <c r="Z4" i="64" s="1"/>
  <c r="M9" i="78"/>
  <c r="N52" i="78"/>
  <c r="Q47" i="64" s="1"/>
  <c r="R47" i="64" s="1"/>
  <c r="Z47" i="64" s="1"/>
  <c r="M52" i="78"/>
  <c r="N34" i="78"/>
  <c r="Q29" i="64" s="1"/>
  <c r="R29" i="64" s="1"/>
  <c r="Z29" i="64" s="1"/>
  <c r="M34" i="78"/>
  <c r="N17" i="78"/>
  <c r="Q12" i="64" s="1"/>
  <c r="R12" i="64" s="1"/>
  <c r="Z12" i="64" s="1"/>
  <c r="M17" i="78"/>
  <c r="N11" i="78"/>
  <c r="Q6" i="64" s="1"/>
  <c r="R6" i="64" s="1"/>
  <c r="Z6" i="64" s="1"/>
  <c r="M11" i="78"/>
  <c r="N61" i="78"/>
  <c r="Q56" i="64" s="1"/>
  <c r="R56" i="64" s="1"/>
  <c r="Z56" i="64" s="1"/>
  <c r="M61" i="78"/>
  <c r="N53" i="78"/>
  <c r="Q48" i="64" s="1"/>
  <c r="R48" i="64" s="1"/>
  <c r="Z48" i="64" s="1"/>
  <c r="M53" i="78"/>
  <c r="N36" i="78"/>
  <c r="Q31" i="64" s="1"/>
  <c r="R31" i="64" s="1"/>
  <c r="Z31" i="64" s="1"/>
  <c r="M36" i="78"/>
  <c r="N19" i="78"/>
  <c r="Q14" i="64" s="1"/>
  <c r="R14" i="64" s="1"/>
  <c r="Z14" i="64" s="1"/>
  <c r="M19" i="78"/>
  <c r="N10" i="78"/>
  <c r="Q5" i="64" s="1"/>
  <c r="R5" i="64" s="1"/>
  <c r="Z5" i="64" s="1"/>
  <c r="M10" i="78"/>
  <c r="N41" i="78"/>
  <c r="Q36" i="64" s="1"/>
  <c r="R36" i="64" s="1"/>
  <c r="Z36" i="64" s="1"/>
  <c r="M41" i="78"/>
  <c r="N24" i="78"/>
  <c r="Q19" i="64" s="1"/>
  <c r="R19" i="64" s="1"/>
  <c r="Z19" i="64" s="1"/>
  <c r="M24" i="78"/>
  <c r="L95" i="78"/>
  <c r="N83" i="78"/>
  <c r="Q78" i="64" s="1"/>
  <c r="R78" i="64" s="1"/>
  <c r="Z78" i="64" s="1"/>
  <c r="M83" i="78"/>
  <c r="N67" i="78"/>
  <c r="Q62" i="64" s="1"/>
  <c r="R62" i="64" s="1"/>
  <c r="Z62" i="64" s="1"/>
  <c r="M67" i="78"/>
  <c r="N85" i="78"/>
  <c r="Q80" i="64" s="1"/>
  <c r="R80" i="64" s="1"/>
  <c r="Z80" i="64" s="1"/>
  <c r="M85" i="78"/>
  <c r="B53" i="39"/>
  <c r="L101" i="78" l="1"/>
  <c r="L105" i="78" s="1"/>
  <c r="F101" i="78"/>
  <c r="F105" i="78" s="1"/>
  <c r="K101" i="78"/>
  <c r="M95" i="78"/>
  <c r="M79" i="78"/>
  <c r="N79" i="78"/>
  <c r="Q3" i="64"/>
  <c r="N95" i="78"/>
  <c r="Q77" i="64"/>
  <c r="N99" i="78"/>
  <c r="Q93" i="64"/>
  <c r="J101" i="78"/>
  <c r="H143" i="78" l="1"/>
  <c r="F146" i="78" s="1"/>
  <c r="M101" i="78"/>
  <c r="M105" i="78" s="1"/>
  <c r="K105" i="78"/>
  <c r="H156" i="78"/>
  <c r="F152" i="78" s="1"/>
  <c r="H115" i="78"/>
  <c r="N101" i="78"/>
  <c r="Q95" i="64"/>
  <c r="R93" i="64"/>
  <c r="Q74" i="64"/>
  <c r="R3" i="64"/>
  <c r="Q91" i="64"/>
  <c r="R77" i="64"/>
  <c r="H140" i="78"/>
  <c r="H153" i="78"/>
  <c r="H112" i="78"/>
  <c r="J105" i="78"/>
  <c r="W104" i="32"/>
  <c r="V104" i="32"/>
  <c r="M104" i="32"/>
  <c r="F141" i="78" l="1"/>
  <c r="F115" i="78"/>
  <c r="F139" i="78"/>
  <c r="F142" i="78"/>
  <c r="F145" i="78"/>
  <c r="F155" i="78"/>
  <c r="F143" i="78"/>
  <c r="F144" i="78"/>
  <c r="F140" i="78"/>
  <c r="F157" i="78"/>
  <c r="F153" i="78"/>
  <c r="F154" i="78"/>
  <c r="F156" i="78"/>
  <c r="F158" i="78"/>
  <c r="F159" i="78"/>
  <c r="F117" i="78"/>
  <c r="F111" i="78"/>
  <c r="F118" i="78"/>
  <c r="F116" i="78"/>
  <c r="F114" i="78"/>
  <c r="F112" i="78"/>
  <c r="F113" i="78"/>
  <c r="E156" i="78"/>
  <c r="E152" i="78"/>
  <c r="E154" i="78"/>
  <c r="H160" i="78"/>
  <c r="E159" i="78"/>
  <c r="E158" i="78"/>
  <c r="E157" i="78"/>
  <c r="E153" i="78"/>
  <c r="E155" i="78"/>
  <c r="Z3" i="64"/>
  <c r="Z74" i="64" s="1"/>
  <c r="R74" i="64"/>
  <c r="E140" i="78"/>
  <c r="E139" i="78"/>
  <c r="E146" i="78"/>
  <c r="G146" i="78" s="1"/>
  <c r="E144" i="78"/>
  <c r="H147" i="78"/>
  <c r="E141" i="78"/>
  <c r="E145" i="78"/>
  <c r="E142" i="78"/>
  <c r="E143" i="78"/>
  <c r="R95" i="64"/>
  <c r="Z93" i="64"/>
  <c r="Z95" i="64" s="1"/>
  <c r="Z77" i="64"/>
  <c r="Z91" i="64" s="1"/>
  <c r="R91" i="64"/>
  <c r="E118" i="78"/>
  <c r="E116" i="78"/>
  <c r="E113" i="78"/>
  <c r="H119" i="78"/>
  <c r="E117" i="78"/>
  <c r="E115" i="78"/>
  <c r="E114" i="78"/>
  <c r="E112" i="78"/>
  <c r="E111" i="78"/>
  <c r="Q97" i="64"/>
  <c r="M74" i="32"/>
  <c r="M89" i="32"/>
  <c r="G159" i="78" l="1"/>
  <c r="G141" i="78"/>
  <c r="G115" i="78"/>
  <c r="J115" i="78" s="1"/>
  <c r="G140" i="78"/>
  <c r="G117" i="78"/>
  <c r="J117" i="78" s="1"/>
  <c r="G145" i="78"/>
  <c r="G155" i="78"/>
  <c r="G113" i="78"/>
  <c r="J113" i="78" s="1"/>
  <c r="F147" i="78"/>
  <c r="G143" i="78"/>
  <c r="G153" i="78"/>
  <c r="G142" i="78"/>
  <c r="G144" i="78"/>
  <c r="G157" i="78"/>
  <c r="G154" i="78"/>
  <c r="F160" i="78"/>
  <c r="G156" i="78"/>
  <c r="G158" i="78"/>
  <c r="G116" i="78"/>
  <c r="J116" i="78" s="1"/>
  <c r="F119" i="78"/>
  <c r="G118" i="78"/>
  <c r="J118" i="78" s="1"/>
  <c r="G112" i="78"/>
  <c r="J112" i="78" s="1"/>
  <c r="G114" i="78"/>
  <c r="J114" i="78" s="1"/>
  <c r="Z97" i="64"/>
  <c r="Z98" i="64" s="1"/>
  <c r="E160" i="78"/>
  <c r="G152" i="78"/>
  <c r="Q102" i="64"/>
  <c r="Q121" i="64"/>
  <c r="Q99" i="64"/>
  <c r="Q98" i="64"/>
  <c r="Q151" i="64"/>
  <c r="E119" i="78"/>
  <c r="G111" i="78"/>
  <c r="J111" i="78" s="1"/>
  <c r="R97" i="64"/>
  <c r="E147" i="78"/>
  <c r="G139" i="78"/>
  <c r="M91" i="32"/>
  <c r="M117" i="32" s="1"/>
  <c r="G160" i="78" l="1"/>
  <c r="G147" i="78"/>
  <c r="Z99" i="64"/>
  <c r="G119" i="78"/>
  <c r="G134" i="78" s="1"/>
  <c r="R99" i="64"/>
  <c r="R98" i="64"/>
  <c r="R151" i="64"/>
  <c r="Z151" i="64" s="1"/>
  <c r="N4" i="32"/>
  <c r="N77" i="32"/>
  <c r="N81" i="32"/>
  <c r="N85" i="32"/>
  <c r="N7" i="32"/>
  <c r="N5" i="32"/>
  <c r="N70" i="32"/>
  <c r="N66" i="32"/>
  <c r="N62" i="32"/>
  <c r="N58" i="32"/>
  <c r="N54" i="32"/>
  <c r="N50" i="32"/>
  <c r="N46" i="32"/>
  <c r="N42" i="32"/>
  <c r="N38" i="32"/>
  <c r="N34" i="32"/>
  <c r="N30" i="32"/>
  <c r="N26" i="32"/>
  <c r="N22" i="32"/>
  <c r="N18" i="32"/>
  <c r="N14" i="32"/>
  <c r="N10" i="32"/>
  <c r="N67" i="32"/>
  <c r="N59" i="32"/>
  <c r="N55" i="32"/>
  <c r="N47" i="32"/>
  <c r="N39" i="32"/>
  <c r="N31" i="32"/>
  <c r="N23" i="32"/>
  <c r="N15" i="32"/>
  <c r="N72" i="32"/>
  <c r="N68" i="32"/>
  <c r="N64" i="32"/>
  <c r="N60" i="32"/>
  <c r="N56" i="32"/>
  <c r="N52" i="32"/>
  <c r="N48" i="32"/>
  <c r="N44" i="32"/>
  <c r="N40" i="32"/>
  <c r="N36" i="32"/>
  <c r="N32" i="32"/>
  <c r="N28" i="32"/>
  <c r="N24" i="32"/>
  <c r="N20" i="32"/>
  <c r="N16" i="32"/>
  <c r="N12" i="32"/>
  <c r="N8" i="32"/>
  <c r="N71" i="32"/>
  <c r="N63" i="32"/>
  <c r="N51" i="32"/>
  <c r="N43" i="32"/>
  <c r="N35" i="32"/>
  <c r="N27" i="32"/>
  <c r="N19" i="32"/>
  <c r="N11" i="32"/>
  <c r="N6" i="32"/>
  <c r="N76" i="32"/>
  <c r="N80" i="32"/>
  <c r="N84" i="32"/>
  <c r="N93" i="32"/>
  <c r="Q93" i="32" s="1"/>
  <c r="N69" i="32"/>
  <c r="N65" i="32"/>
  <c r="N61" i="32"/>
  <c r="N57" i="32"/>
  <c r="N53" i="32"/>
  <c r="N49" i="32"/>
  <c r="N45" i="32"/>
  <c r="N41" i="32"/>
  <c r="N37" i="32"/>
  <c r="N33" i="32"/>
  <c r="N29" i="32"/>
  <c r="N25" i="32"/>
  <c r="N21" i="32"/>
  <c r="N17" i="32"/>
  <c r="N13" i="32"/>
  <c r="N9" i="32"/>
  <c r="N78" i="32"/>
  <c r="N79" i="32"/>
  <c r="N82" i="32"/>
  <c r="N83" i="32"/>
  <c r="N86" i="32"/>
  <c r="N87" i="32"/>
  <c r="AA118" i="32" l="1"/>
  <c r="AA108" i="32"/>
  <c r="W121" i="32" l="1"/>
  <c r="AH104" i="32" l="1"/>
  <c r="AF89" i="32" l="1"/>
  <c r="AF91" i="32" s="1"/>
  <c r="AF117" i="32" s="1"/>
  <c r="AH89" i="32" l="1"/>
  <c r="AG89" i="32"/>
  <c r="AH74" i="32"/>
  <c r="AG74" i="32"/>
  <c r="AH91" i="32" l="1"/>
  <c r="AH117" i="32" s="1"/>
  <c r="AG91" i="32"/>
  <c r="AG117" i="32" s="1"/>
  <c r="H5" i="39"/>
  <c r="W89" i="32"/>
  <c r="H53" i="39" l="1"/>
  <c r="H20" i="39"/>
  <c r="W74" i="32"/>
  <c r="W91" i="32" s="1"/>
  <c r="W117" i="32" s="1"/>
  <c r="W123" i="32" l="1"/>
  <c r="L3" i="39"/>
  <c r="G23" i="39" l="1"/>
  <c r="E20" i="39"/>
  <c r="G25" i="39"/>
  <c r="G24" i="39"/>
  <c r="E23" i="39"/>
  <c r="F5" i="39"/>
  <c r="K25" i="39" s="1"/>
  <c r="D87" i="39" l="1"/>
  <c r="D86" i="39"/>
  <c r="G86" i="39"/>
  <c r="F135" i="39"/>
  <c r="F133" i="39"/>
  <c r="F129" i="39"/>
  <c r="F125" i="39"/>
  <c r="G133" i="39"/>
  <c r="G129" i="39"/>
  <c r="G125" i="39"/>
  <c r="G121" i="39"/>
  <c r="G135" i="39"/>
  <c r="G131" i="39"/>
  <c r="G127" i="39"/>
  <c r="G123" i="39"/>
  <c r="F131" i="39"/>
  <c r="F127" i="39"/>
  <c r="F123" i="39"/>
  <c r="F121" i="39"/>
  <c r="G66" i="39"/>
  <c r="G65" i="39"/>
  <c r="G76" i="39"/>
  <c r="G72" i="39"/>
  <c r="G71" i="39"/>
  <c r="G74" i="39"/>
  <c r="G70" i="39"/>
  <c r="G73" i="39"/>
  <c r="F70" i="39"/>
  <c r="G75" i="39"/>
  <c r="F75" i="39"/>
  <c r="F71" i="39"/>
  <c r="F74" i="39"/>
  <c r="F73" i="39"/>
  <c r="F76" i="39"/>
  <c r="F72" i="39"/>
  <c r="E107" i="39"/>
  <c r="H107" i="39" s="1"/>
  <c r="G84" i="39"/>
  <c r="G83" i="39"/>
  <c r="G87" i="39"/>
  <c r="G81" i="39"/>
  <c r="G79" i="39"/>
  <c r="H79" i="39" s="1"/>
  <c r="E93" i="39"/>
  <c r="C25" i="39"/>
  <c r="H25" i="39" s="1"/>
  <c r="G62" i="39"/>
  <c r="G61" i="39"/>
  <c r="G60" i="39"/>
  <c r="G38" i="39"/>
  <c r="H38" i="39" s="1"/>
  <c r="E40" i="39"/>
  <c r="H40" i="39" s="1"/>
  <c r="E47" i="39"/>
  <c r="H47" i="39" s="1"/>
  <c r="G36" i="39"/>
  <c r="H36" i="39" s="1"/>
  <c r="E42" i="39"/>
  <c r="H42" i="39" s="1"/>
  <c r="H23" i="39"/>
  <c r="C24" i="39"/>
  <c r="H24" i="39" s="1"/>
  <c r="M18" i="39"/>
  <c r="F18" i="39" s="1"/>
  <c r="L17" i="39"/>
  <c r="E17" i="39" s="1"/>
  <c r="L12" i="39"/>
  <c r="E12" i="39" s="1"/>
  <c r="M13" i="39"/>
  <c r="F13" i="39" s="1"/>
  <c r="N14" i="39"/>
  <c r="G14" i="39" s="1"/>
  <c r="L18" i="39"/>
  <c r="E18" i="39" s="1"/>
  <c r="L16" i="39"/>
  <c r="E16" i="39" s="1"/>
  <c r="M12" i="39"/>
  <c r="F12" i="39" s="1"/>
  <c r="N13" i="39"/>
  <c r="G13" i="39" s="1"/>
  <c r="N11" i="39"/>
  <c r="G11" i="39" s="1"/>
  <c r="N17" i="39"/>
  <c r="G17" i="39" s="1"/>
  <c r="M16" i="39"/>
  <c r="F16" i="39" s="1"/>
  <c r="N12" i="39"/>
  <c r="G12" i="39" s="1"/>
  <c r="L14" i="39"/>
  <c r="E14" i="39" s="1"/>
  <c r="M11" i="39"/>
  <c r="F11" i="39" s="1"/>
  <c r="N18" i="39"/>
  <c r="G18" i="39" s="1"/>
  <c r="M17" i="39"/>
  <c r="F17" i="39" s="1"/>
  <c r="N16" i="39"/>
  <c r="G16" i="39" s="1"/>
  <c r="L13" i="39"/>
  <c r="E13" i="39" s="1"/>
  <c r="M14" i="39"/>
  <c r="F14" i="39" s="1"/>
  <c r="L11" i="39"/>
  <c r="E11" i="39" s="1"/>
  <c r="Q12" i="39"/>
  <c r="Q13" i="39"/>
  <c r="Q14" i="39"/>
  <c r="Q11" i="39"/>
  <c r="F53" i="39"/>
  <c r="H121" i="39" l="1"/>
  <c r="M63" i="39"/>
  <c r="H133" i="39"/>
  <c r="H123" i="39"/>
  <c r="H129" i="39"/>
  <c r="H125" i="39"/>
  <c r="H127" i="39"/>
  <c r="H131" i="39"/>
  <c r="H135" i="39"/>
  <c r="H70" i="39"/>
  <c r="G77" i="39"/>
  <c r="J62" i="39"/>
  <c r="H62" i="39"/>
  <c r="H60" i="39"/>
  <c r="H61" i="39"/>
  <c r="J61" i="39"/>
  <c r="H66" i="39"/>
  <c r="H18" i="39"/>
  <c r="H17" i="39"/>
  <c r="H16" i="39"/>
  <c r="H74" i="39"/>
  <c r="J74" i="39" s="1"/>
  <c r="H75" i="39"/>
  <c r="J75" i="39" s="1"/>
  <c r="H72" i="39"/>
  <c r="J72" i="39" s="1"/>
  <c r="H76" i="39"/>
  <c r="J76" i="39" s="1"/>
  <c r="H81" i="39"/>
  <c r="J81" i="39" s="1"/>
  <c r="H83" i="39"/>
  <c r="J83" i="39" s="1"/>
  <c r="H84" i="39"/>
  <c r="J84" i="39" s="1"/>
  <c r="J79" i="39"/>
  <c r="H87" i="39"/>
  <c r="J87" i="39" s="1"/>
  <c r="H73" i="39"/>
  <c r="J73" i="39" s="1"/>
  <c r="H71" i="39"/>
  <c r="J71" i="39" s="1"/>
  <c r="H86" i="39"/>
  <c r="J86" i="39" s="1"/>
  <c r="F77" i="39"/>
  <c r="H137" i="39" l="1"/>
  <c r="H77" i="39"/>
  <c r="G67" i="39"/>
  <c r="H65" i="39"/>
  <c r="H67" i="39" s="1"/>
  <c r="J70" i="39"/>
  <c r="G148" i="39" l="1"/>
  <c r="G144" i="39"/>
  <c r="G146" i="39"/>
  <c r="O105" i="68"/>
  <c r="N69" i="39"/>
  <c r="R13" i="39"/>
  <c r="H13" i="39" s="1"/>
  <c r="R12" i="39"/>
  <c r="H12" i="39" s="1"/>
  <c r="R14" i="39"/>
  <c r="H14" i="39" s="1"/>
  <c r="R11" i="39"/>
  <c r="H11" i="39" s="1"/>
  <c r="C5" i="34"/>
  <c r="D26" i="34" l="1"/>
  <c r="B26" i="34"/>
  <c r="D18" i="34"/>
  <c r="D16" i="34"/>
  <c r="B14" i="34"/>
  <c r="D14" i="34" s="1"/>
  <c r="B13" i="34"/>
  <c r="D13" i="34" s="1"/>
  <c r="B11" i="34"/>
  <c r="B9" i="34"/>
  <c r="D20" i="34"/>
  <c r="D22" i="34"/>
  <c r="H26" i="39"/>
  <c r="AX225" i="46" s="1"/>
  <c r="AX226" i="46" s="1"/>
  <c r="J77" i="39"/>
  <c r="D9" i="34" l="1"/>
  <c r="Z104" i="32"/>
  <c r="X104" i="32"/>
  <c r="U104" i="32"/>
  <c r="T104" i="32"/>
  <c r="R104" i="32"/>
  <c r="P104" i="32"/>
  <c r="O104" i="32"/>
  <c r="J104" i="32"/>
  <c r="I104" i="32"/>
  <c r="H104" i="32"/>
  <c r="G104" i="32"/>
  <c r="F104" i="32"/>
  <c r="E104" i="32"/>
  <c r="D104" i="32"/>
  <c r="C104" i="32"/>
  <c r="N102" i="32"/>
  <c r="Q102" i="32" s="1"/>
  <c r="S102" i="32" s="1"/>
  <c r="N101" i="32"/>
  <c r="Q101" i="32" s="1"/>
  <c r="S101" i="32" s="1"/>
  <c r="N100" i="32"/>
  <c r="Q100" i="32" s="1"/>
  <c r="S100" i="32" s="1"/>
  <c r="N99" i="32"/>
  <c r="Q99" i="32" s="1"/>
  <c r="S99" i="32" s="1"/>
  <c r="N98" i="32"/>
  <c r="Q98" i="32" s="1"/>
  <c r="S98" i="32" s="1"/>
  <c r="N97" i="32"/>
  <c r="Q97" i="32" s="1"/>
  <c r="S97" i="32" s="1"/>
  <c r="N96" i="32"/>
  <c r="Q96" i="32" s="1"/>
  <c r="S96" i="32" s="1"/>
  <c r="N95" i="32"/>
  <c r="Q95" i="32" s="1"/>
  <c r="Z89" i="32"/>
  <c r="X89" i="32"/>
  <c r="V89" i="32"/>
  <c r="U89" i="32"/>
  <c r="T89" i="32"/>
  <c r="P89" i="32"/>
  <c r="O89" i="32"/>
  <c r="L89" i="32"/>
  <c r="K89" i="32"/>
  <c r="J89" i="32"/>
  <c r="I89" i="32"/>
  <c r="H89" i="32"/>
  <c r="G89" i="32"/>
  <c r="F89" i="32"/>
  <c r="E89" i="32"/>
  <c r="D89" i="32"/>
  <c r="C89" i="32"/>
  <c r="Q87" i="32"/>
  <c r="S87" i="32" s="1"/>
  <c r="Q86" i="32"/>
  <c r="S86" i="32" s="1"/>
  <c r="Q85" i="32"/>
  <c r="S85" i="32" s="1"/>
  <c r="Q84" i="32"/>
  <c r="S84" i="32" s="1"/>
  <c r="Q83" i="32"/>
  <c r="Q82" i="32"/>
  <c r="Q81" i="32"/>
  <c r="S81" i="32" s="1"/>
  <c r="Q80" i="32"/>
  <c r="Q79" i="32"/>
  <c r="S79" i="32" s="1"/>
  <c r="Q78" i="32"/>
  <c r="Q77" i="32"/>
  <c r="Z74" i="32"/>
  <c r="X74" i="32"/>
  <c r="V74" i="32"/>
  <c r="U74" i="32"/>
  <c r="T74" i="32"/>
  <c r="P74" i="32"/>
  <c r="O74" i="32"/>
  <c r="L74" i="32"/>
  <c r="K74" i="32"/>
  <c r="J74" i="32"/>
  <c r="I74" i="32"/>
  <c r="H74" i="32"/>
  <c r="G74" i="32"/>
  <c r="F74" i="32"/>
  <c r="E74" i="32"/>
  <c r="D74" i="32"/>
  <c r="C74" i="32"/>
  <c r="Q72" i="32"/>
  <c r="Q71" i="32"/>
  <c r="Q70" i="32"/>
  <c r="Q69" i="32"/>
  <c r="Q68" i="32"/>
  <c r="Q67" i="32"/>
  <c r="Q66" i="32"/>
  <c r="Q65" i="32"/>
  <c r="S65" i="32" s="1"/>
  <c r="Q64" i="32"/>
  <c r="Q63" i="32"/>
  <c r="Q62" i="32"/>
  <c r="S62" i="32" s="1"/>
  <c r="Q61" i="32"/>
  <c r="Q60" i="32"/>
  <c r="Q59" i="32"/>
  <c r="Q58" i="32"/>
  <c r="Q57" i="32"/>
  <c r="Q56" i="32"/>
  <c r="Q55" i="32"/>
  <c r="Q54" i="32"/>
  <c r="Q53" i="32"/>
  <c r="Q52" i="32"/>
  <c r="Q51" i="32"/>
  <c r="Q50" i="32"/>
  <c r="Q49" i="32"/>
  <c r="Q48" i="32"/>
  <c r="Q47" i="32"/>
  <c r="Q46" i="32"/>
  <c r="Q45" i="32"/>
  <c r="Q44" i="32"/>
  <c r="Q43" i="32"/>
  <c r="Q42" i="32"/>
  <c r="Q41" i="32"/>
  <c r="Q40" i="32"/>
  <c r="S40" i="32" s="1"/>
  <c r="Q39" i="32"/>
  <c r="Q38" i="32"/>
  <c r="Q37" i="32"/>
  <c r="Q36" i="32"/>
  <c r="Q35" i="32"/>
  <c r="Q34" i="32"/>
  <c r="Q33" i="32"/>
  <c r="Q32" i="32"/>
  <c r="Q31" i="32"/>
  <c r="S31" i="32" s="1"/>
  <c r="Q30" i="32"/>
  <c r="Q29" i="32"/>
  <c r="Q28" i="32"/>
  <c r="Q27" i="32"/>
  <c r="Q26" i="32"/>
  <c r="Q25" i="32"/>
  <c r="Q24" i="32"/>
  <c r="Q23" i="32"/>
  <c r="Q22" i="32"/>
  <c r="Q21" i="32"/>
  <c r="Q20" i="32"/>
  <c r="Q19" i="32"/>
  <c r="Q18" i="32"/>
  <c r="Q17" i="32"/>
  <c r="Q16" i="32"/>
  <c r="Q15" i="32"/>
  <c r="Q14" i="32"/>
  <c r="S14" i="32" s="1"/>
  <c r="Q13" i="32"/>
  <c r="Q12" i="32"/>
  <c r="S12" i="32" s="1"/>
  <c r="Q11" i="32"/>
  <c r="Q10" i="32"/>
  <c r="Q9" i="32"/>
  <c r="Q8" i="32"/>
  <c r="Q7" i="32"/>
  <c r="Q6" i="32"/>
  <c r="Q5" i="32"/>
  <c r="Q4" i="32"/>
  <c r="O117" i="32" l="1"/>
  <c r="H117" i="32"/>
  <c r="U121" i="32"/>
  <c r="N74" i="32"/>
  <c r="N89" i="32"/>
  <c r="F91" i="32"/>
  <c r="F117" i="32" s="1"/>
  <c r="J91" i="32"/>
  <c r="E91" i="39" s="1"/>
  <c r="H91" i="39" s="1"/>
  <c r="Q76" i="32"/>
  <c r="Q89" i="32" s="1"/>
  <c r="V91" i="32"/>
  <c r="V117" i="32" s="1"/>
  <c r="C91" i="32"/>
  <c r="C117" i="32" s="1"/>
  <c r="G91" i="32"/>
  <c r="G117" i="32" s="1"/>
  <c r="K91" i="32"/>
  <c r="K117" i="32" s="1"/>
  <c r="P91" i="32"/>
  <c r="P117" i="32" s="1"/>
  <c r="O91" i="32"/>
  <c r="E95" i="39" s="1"/>
  <c r="H95" i="39" s="1"/>
  <c r="U91" i="32"/>
  <c r="U117" i="32" s="1"/>
  <c r="D91" i="32"/>
  <c r="D117" i="32" s="1"/>
  <c r="H91" i="32"/>
  <c r="L91" i="32"/>
  <c r="X91" i="32"/>
  <c r="E91" i="32"/>
  <c r="E117" i="32" s="1"/>
  <c r="I91" i="32"/>
  <c r="E89" i="39" s="1"/>
  <c r="H89" i="39" s="1"/>
  <c r="T91" i="32"/>
  <c r="T117" i="32" s="1"/>
  <c r="Z91" i="32"/>
  <c r="Z117" i="32" s="1"/>
  <c r="Q104" i="32"/>
  <c r="S95" i="32"/>
  <c r="N104" i="32"/>
  <c r="S130" i="32" l="1"/>
  <c r="J117" i="32"/>
  <c r="X117" i="32"/>
  <c r="I117" i="32"/>
  <c r="H93" i="39"/>
  <c r="L117" i="32"/>
  <c r="S128" i="32" s="1"/>
  <c r="T123" i="32"/>
  <c r="S123" i="32" s="1"/>
  <c r="E102" i="39"/>
  <c r="H102" i="39" s="1"/>
  <c r="E34" i="39"/>
  <c r="H34" i="39" s="1"/>
  <c r="H44" i="39" s="1"/>
  <c r="V123" i="32"/>
  <c r="S125" i="32" s="1"/>
  <c r="S126" i="32"/>
  <c r="U123" i="32"/>
  <c r="S124" i="32" s="1"/>
  <c r="N91" i="32"/>
  <c r="N117" i="32" s="1"/>
  <c r="S76" i="32"/>
  <c r="X123" i="32"/>
  <c r="E117" i="39"/>
  <c r="H117" i="39" s="1"/>
  <c r="Q74" i="32"/>
  <c r="Q91" i="32" s="1"/>
  <c r="Q117" i="32" s="1"/>
  <c r="S2" i="32"/>
  <c r="S104" i="32"/>
  <c r="AK102" i="32" l="1"/>
  <c r="AL102" i="32" l="1"/>
  <c r="AA99" i="32"/>
  <c r="AK99" i="32" s="1"/>
  <c r="AL99" i="32" s="1"/>
  <c r="AA96" i="32"/>
  <c r="AK96" i="32" s="1"/>
  <c r="AL96" i="32" s="1"/>
  <c r="AA101" i="32"/>
  <c r="AK101" i="32" s="1"/>
  <c r="AL101" i="32" s="1"/>
  <c r="AA97" i="32"/>
  <c r="AK97" i="32" s="1"/>
  <c r="AL97" i="32" s="1"/>
  <c r="AA95" i="32"/>
  <c r="AK95" i="32" s="1"/>
  <c r="AL95" i="32" l="1"/>
  <c r="D11" i="34"/>
  <c r="D24" i="34" s="1"/>
  <c r="S136" i="32" l="1"/>
  <c r="S137" i="32"/>
  <c r="S138" i="32" l="1"/>
  <c r="J60" i="39"/>
  <c r="J97" i="39" s="1"/>
  <c r="G63" i="39"/>
  <c r="L63" i="39" s="1"/>
  <c r="F148" i="39" l="1"/>
  <c r="H148" i="39" s="1"/>
  <c r="F144" i="39"/>
  <c r="F146" i="39"/>
  <c r="H146" i="39" s="1"/>
  <c r="H63" i="39"/>
  <c r="H97" i="39" l="1"/>
  <c r="I110" i="39" s="1"/>
  <c r="H144" i="39"/>
  <c r="H150" i="39" s="1"/>
  <c r="AA100" i="32"/>
  <c r="AK100" i="32" s="1"/>
  <c r="AL100" i="32" s="1"/>
  <c r="I112" i="39" l="1"/>
  <c r="AA98" i="32"/>
  <c r="AK98" i="32" s="1"/>
  <c r="Y104" i="32"/>
  <c r="AA104" i="32" s="1"/>
  <c r="AL98" i="32" l="1"/>
  <c r="AL104" i="32" s="1"/>
  <c r="AK104" i="32"/>
  <c r="AA87" i="32" l="1"/>
  <c r="AK87" i="32" s="1"/>
  <c r="AL87" i="32" s="1"/>
  <c r="AA86" i="32"/>
  <c r="AK86" i="32" s="1"/>
  <c r="AL86" i="32" s="1"/>
  <c r="AA85" i="32"/>
  <c r="AK85" i="32" s="1"/>
  <c r="AL85" i="32" s="1"/>
  <c r="AA84" i="32"/>
  <c r="AK84" i="32" s="1"/>
  <c r="AL84" i="32" s="1"/>
  <c r="AA81" i="32"/>
  <c r="AK81" i="32" s="1"/>
  <c r="AL81" i="32" s="1"/>
  <c r="AA79" i="32"/>
  <c r="AK79" i="32" s="1"/>
  <c r="AL79" i="32" s="1"/>
  <c r="AA40" i="32"/>
  <c r="AK40" i="32" s="1"/>
  <c r="AL40" i="32" s="1"/>
  <c r="AA62" i="32"/>
  <c r="AK62" i="32" s="1"/>
  <c r="AL62" i="32" s="1"/>
  <c r="AA65" i="32"/>
  <c r="AK65" i="32" s="1"/>
  <c r="AL65" i="32" s="1"/>
  <c r="AA2" i="32" l="1"/>
  <c r="AK2" i="32" s="1"/>
  <c r="AA76" i="32"/>
  <c r="AK76" i="32" s="1"/>
  <c r="Y89" i="32"/>
  <c r="AL2" i="32" l="1"/>
  <c r="AL76" i="32"/>
  <c r="AA12" i="32"/>
  <c r="AK12" i="32" s="1"/>
  <c r="AL12" i="32" s="1"/>
  <c r="AA31" i="32"/>
  <c r="AK31" i="32" s="1"/>
  <c r="AL31" i="32" s="1"/>
  <c r="AA14" i="32" l="1"/>
  <c r="AK14" i="32" s="1"/>
  <c r="AL14" i="32" s="1"/>
  <c r="Y74" i="32" l="1"/>
  <c r="Y91" i="32" s="1"/>
  <c r="Y117" i="32" s="1"/>
  <c r="Y121" i="32" s="1"/>
  <c r="S122" i="32" l="1"/>
  <c r="Z124" i="32"/>
  <c r="S55" i="32"/>
  <c r="AA55" i="32" s="1"/>
  <c r="AK55" i="32" s="1"/>
  <c r="AL55" i="32" s="1"/>
  <c r="S50" i="32"/>
  <c r="AA50" i="32" s="1"/>
  <c r="AK50" i="32" s="1"/>
  <c r="AL50" i="32" s="1"/>
  <c r="S20" i="32"/>
  <c r="AA20" i="32" s="1"/>
  <c r="AK20" i="32" s="1"/>
  <c r="AL20" i="32" s="1"/>
  <c r="S10" i="32"/>
  <c r="AA10" i="32" s="1"/>
  <c r="AK10" i="32" s="1"/>
  <c r="AL10" i="32" s="1"/>
  <c r="AU223" i="46" l="1"/>
  <c r="AU224" i="46" s="1"/>
  <c r="Z129" i="32"/>
  <c r="Z131" i="32" s="1"/>
  <c r="S77" i="32"/>
  <c r="S15" i="32"/>
  <c r="AA15" i="32" s="1"/>
  <c r="AK15" i="32" s="1"/>
  <c r="AL15" i="32" s="1"/>
  <c r="S17" i="32"/>
  <c r="AA17" i="32" s="1"/>
  <c r="AK17" i="32" s="1"/>
  <c r="AL17" i="32" s="1"/>
  <c r="S37" i="32"/>
  <c r="AA37" i="32" s="1"/>
  <c r="AK37" i="32" s="1"/>
  <c r="AL37" i="32" s="1"/>
  <c r="S60" i="32"/>
  <c r="AA60" i="32" s="1"/>
  <c r="AK60" i="32" s="1"/>
  <c r="AL60" i="32" s="1"/>
  <c r="S68" i="32"/>
  <c r="AA68" i="32" s="1"/>
  <c r="AK68" i="32" s="1"/>
  <c r="AL68" i="32" s="1"/>
  <c r="S47" i="32"/>
  <c r="AA47" i="32" s="1"/>
  <c r="AK47" i="32" s="1"/>
  <c r="AL47" i="32" s="1"/>
  <c r="S78" i="32"/>
  <c r="AA78" i="32" s="1"/>
  <c r="AK78" i="32" s="1"/>
  <c r="AL78" i="32" s="1"/>
  <c r="S11" i="32"/>
  <c r="AA11" i="32" s="1"/>
  <c r="AK11" i="32" s="1"/>
  <c r="AL11" i="32" s="1"/>
  <c r="S30" i="32"/>
  <c r="AA30" i="32" s="1"/>
  <c r="AK30" i="32" s="1"/>
  <c r="AL30" i="32" s="1"/>
  <c r="S7" i="32"/>
  <c r="AA7" i="32" s="1"/>
  <c r="AK7" i="32" s="1"/>
  <c r="AL7" i="32" s="1"/>
  <c r="S5" i="32"/>
  <c r="AA5" i="32" s="1"/>
  <c r="AK5" i="32" s="1"/>
  <c r="AL5" i="32" s="1"/>
  <c r="S56" i="32"/>
  <c r="AA56" i="32" s="1"/>
  <c r="AK56" i="32" s="1"/>
  <c r="AL56" i="32" s="1"/>
  <c r="S44" i="32"/>
  <c r="AA44" i="32" s="1"/>
  <c r="AK44" i="32" s="1"/>
  <c r="AL44" i="32" s="1"/>
  <c r="S27" i="32"/>
  <c r="AA27" i="32" s="1"/>
  <c r="AK27" i="32" s="1"/>
  <c r="AL27" i="32" s="1"/>
  <c r="S45" i="32"/>
  <c r="AA45" i="32" s="1"/>
  <c r="AK45" i="32" s="1"/>
  <c r="AL45" i="32" s="1"/>
  <c r="S18" i="32"/>
  <c r="AA18" i="32" s="1"/>
  <c r="AK18" i="32" s="1"/>
  <c r="AL18" i="32" s="1"/>
  <c r="S39" i="32"/>
  <c r="AA39" i="32" s="1"/>
  <c r="AK39" i="32" s="1"/>
  <c r="AL39" i="32" s="1"/>
  <c r="S35" i="32"/>
  <c r="AA35" i="32" s="1"/>
  <c r="AK35" i="32" s="1"/>
  <c r="AL35" i="32" s="1"/>
  <c r="S67" i="32"/>
  <c r="AA67" i="32" s="1"/>
  <c r="AK67" i="32" s="1"/>
  <c r="AL67" i="32" s="1"/>
  <c r="S83" i="32"/>
  <c r="AA83" i="32" s="1"/>
  <c r="AK83" i="32" s="1"/>
  <c r="AL83" i="32" s="1"/>
  <c r="S24" i="32"/>
  <c r="AA24" i="32" s="1"/>
  <c r="AK24" i="32" s="1"/>
  <c r="AL24" i="32" s="1"/>
  <c r="S46" i="32"/>
  <c r="AA46" i="32" s="1"/>
  <c r="AK46" i="32" s="1"/>
  <c r="AL46" i="32" s="1"/>
  <c r="S59" i="32"/>
  <c r="AA59" i="32" s="1"/>
  <c r="AK59" i="32" s="1"/>
  <c r="AL59" i="32" s="1"/>
  <c r="S72" i="32"/>
  <c r="AA72" i="32" s="1"/>
  <c r="AK72" i="32" s="1"/>
  <c r="AL72" i="32" s="1"/>
  <c r="S28" i="32"/>
  <c r="AA28" i="32" s="1"/>
  <c r="AK28" i="32" s="1"/>
  <c r="AL28" i="32" s="1"/>
  <c r="S66" i="32"/>
  <c r="AA66" i="32" s="1"/>
  <c r="AK66" i="32" s="1"/>
  <c r="AL66" i="32" s="1"/>
  <c r="S61" i="32"/>
  <c r="AA61" i="32" s="1"/>
  <c r="AK61" i="32" s="1"/>
  <c r="AL61" i="32" s="1"/>
  <c r="S70" i="32"/>
  <c r="AA70" i="32" s="1"/>
  <c r="AK70" i="32" s="1"/>
  <c r="AL70" i="32" s="1"/>
  <c r="S51" i="32"/>
  <c r="AA51" i="32" s="1"/>
  <c r="AK51" i="32" s="1"/>
  <c r="AL51" i="32" s="1"/>
  <c r="S29" i="32"/>
  <c r="AA29" i="32" s="1"/>
  <c r="AK29" i="32" s="1"/>
  <c r="AL29" i="32" s="1"/>
  <c r="S57" i="32"/>
  <c r="AA57" i="32" s="1"/>
  <c r="AK57" i="32" s="1"/>
  <c r="AL57" i="32" s="1"/>
  <c r="S6" i="32"/>
  <c r="AA6" i="32" s="1"/>
  <c r="AK6" i="32" s="1"/>
  <c r="AL6" i="32" s="1"/>
  <c r="S64" i="32"/>
  <c r="AA64" i="32" s="1"/>
  <c r="AK64" i="32" s="1"/>
  <c r="AL64" i="32" s="1"/>
  <c r="S82" i="32"/>
  <c r="AA82" i="32" s="1"/>
  <c r="AK82" i="32" s="1"/>
  <c r="AL82" i="32" s="1"/>
  <c r="S32" i="32"/>
  <c r="AA32" i="32" s="1"/>
  <c r="AK32" i="32" s="1"/>
  <c r="AL32" i="32" s="1"/>
  <c r="S43" i="32"/>
  <c r="AA43" i="32" s="1"/>
  <c r="AK43" i="32" s="1"/>
  <c r="AL43" i="32" s="1"/>
  <c r="S36" i="32"/>
  <c r="AA36" i="32" s="1"/>
  <c r="AK36" i="32" s="1"/>
  <c r="AL36" i="32" s="1"/>
  <c r="S22" i="32"/>
  <c r="AA22" i="32" s="1"/>
  <c r="AK22" i="32" s="1"/>
  <c r="AL22" i="32" s="1"/>
  <c r="S49" i="32"/>
  <c r="AA49" i="32" s="1"/>
  <c r="AK49" i="32" s="1"/>
  <c r="AL49" i="32" s="1"/>
  <c r="S13" i="32"/>
  <c r="AA13" i="32" s="1"/>
  <c r="AK13" i="32" s="1"/>
  <c r="AL13" i="32" s="1"/>
  <c r="S69" i="32"/>
  <c r="AA69" i="32" s="1"/>
  <c r="AK69" i="32" s="1"/>
  <c r="AL69" i="32" s="1"/>
  <c r="S53" i="32"/>
  <c r="AA53" i="32" s="1"/>
  <c r="AK53" i="32" s="1"/>
  <c r="AL53" i="32" s="1"/>
  <c r="S54" i="32"/>
  <c r="AA54" i="32" s="1"/>
  <c r="AK54" i="32" s="1"/>
  <c r="AL54" i="32" s="1"/>
  <c r="S33" i="32"/>
  <c r="AA33" i="32" s="1"/>
  <c r="AK33" i="32" s="1"/>
  <c r="AL33" i="32" s="1"/>
  <c r="S52" i="32"/>
  <c r="AA52" i="32" s="1"/>
  <c r="AK52" i="32" s="1"/>
  <c r="AL52" i="32" s="1"/>
  <c r="S41" i="32"/>
  <c r="AA41" i="32" s="1"/>
  <c r="AK41" i="32" s="1"/>
  <c r="AL41" i="32" s="1"/>
  <c r="S80" i="32"/>
  <c r="AA80" i="32" s="1"/>
  <c r="AK80" i="32" s="1"/>
  <c r="AL80" i="32" s="1"/>
  <c r="S34" i="32"/>
  <c r="AA34" i="32" s="1"/>
  <c r="AK34" i="32" s="1"/>
  <c r="AL34" i="32" s="1"/>
  <c r="S26" i="32"/>
  <c r="AA26" i="32" s="1"/>
  <c r="AK26" i="32" s="1"/>
  <c r="AL26" i="32" s="1"/>
  <c r="S42" i="32"/>
  <c r="AA42" i="32" s="1"/>
  <c r="AK42" i="32" s="1"/>
  <c r="AL42" i="32" s="1"/>
  <c r="S25" i="32"/>
  <c r="AA25" i="32" s="1"/>
  <c r="AK25" i="32" s="1"/>
  <c r="AL25" i="32" s="1"/>
  <c r="S21" i="32"/>
  <c r="AA21" i="32" s="1"/>
  <c r="AK21" i="32" s="1"/>
  <c r="AL21" i="32" s="1"/>
  <c r="S16" i="32"/>
  <c r="AA16" i="32" s="1"/>
  <c r="AK16" i="32" s="1"/>
  <c r="AL16" i="32" s="1"/>
  <c r="S8" i="32"/>
  <c r="AA8" i="32" s="1"/>
  <c r="AK8" i="32" s="1"/>
  <c r="AL8" i="32" s="1"/>
  <c r="S23" i="32"/>
  <c r="AA23" i="32" s="1"/>
  <c r="AK23" i="32" s="1"/>
  <c r="AL23" i="32" s="1"/>
  <c r="S93" i="32"/>
  <c r="AA93" i="32" s="1"/>
  <c r="AK93" i="32" s="1"/>
  <c r="AL93" i="32" s="1"/>
  <c r="S71" i="32"/>
  <c r="AA71" i="32" s="1"/>
  <c r="AK71" i="32" s="1"/>
  <c r="AL71" i="32" s="1"/>
  <c r="S63" i="32"/>
  <c r="AA63" i="32" s="1"/>
  <c r="AK63" i="32" s="1"/>
  <c r="AL63" i="32" s="1"/>
  <c r="S48" i="32"/>
  <c r="AA48" i="32" s="1"/>
  <c r="AK48" i="32" s="1"/>
  <c r="AL48" i="32" s="1"/>
  <c r="S19" i="32"/>
  <c r="AA19" i="32" s="1"/>
  <c r="AK19" i="32" s="1"/>
  <c r="AL19" i="32" s="1"/>
  <c r="S38" i="32"/>
  <c r="AA38" i="32" s="1"/>
  <c r="AK38" i="32" s="1"/>
  <c r="AL38" i="32" s="1"/>
  <c r="S58" i="32"/>
  <c r="AA58" i="32" s="1"/>
  <c r="AK58" i="32" s="1"/>
  <c r="AL58" i="32" s="1"/>
  <c r="S9" i="32"/>
  <c r="AA9" i="32" s="1"/>
  <c r="AK9" i="32" s="1"/>
  <c r="AL9" i="32" s="1"/>
  <c r="R89" i="32" l="1"/>
  <c r="S4" i="32"/>
  <c r="R74" i="32"/>
  <c r="AA77" i="32"/>
  <c r="S89" i="32"/>
  <c r="AA89" i="32" l="1"/>
  <c r="AK77" i="32"/>
  <c r="AA4" i="32"/>
  <c r="AK4" i="32" s="1"/>
  <c r="S74" i="32"/>
  <c r="S91" i="32" s="1"/>
  <c r="S117" i="32" s="1"/>
  <c r="R91" i="32"/>
  <c r="R117" i="32" s="1"/>
  <c r="AL4" i="32" l="1"/>
  <c r="AL74" i="32" s="1"/>
  <c r="AK74" i="32"/>
  <c r="AL77" i="32"/>
  <c r="AL89" i="32" s="1"/>
  <c r="AL91" i="32" s="1"/>
  <c r="AL117" i="32" s="1"/>
  <c r="K110" i="39" s="1"/>
  <c r="L110" i="39" s="1"/>
  <c r="AK89" i="32"/>
  <c r="AA74" i="32"/>
  <c r="AA91" i="32" s="1"/>
  <c r="S121" i="32"/>
  <c r="S127" i="32" s="1"/>
  <c r="AK91" i="32" l="1"/>
  <c r="AK117" i="32" s="1"/>
  <c r="K112" i="39" s="1"/>
  <c r="L112" i="39" s="1"/>
  <c r="AA117" i="32"/>
  <c r="S129" i="32"/>
  <c r="S131" i="32" s="1"/>
  <c r="U127" i="32"/>
  <c r="S132" i="32" l="1"/>
  <c r="Z152" i="64"/>
  <c r="U129" i="32"/>
  <c r="S140" i="32"/>
  <c r="S133" i="32"/>
  <c r="Z150" i="64" l="1"/>
  <c r="AA152" i="64"/>
</calcChain>
</file>

<file path=xl/comments1.xml><?xml version="1.0" encoding="utf-8"?>
<comments xmlns="http://schemas.openxmlformats.org/spreadsheetml/2006/main">
  <authors>
    <author>Al Appleby</author>
    <author>Goodacre, Kelly</author>
  </authors>
  <commentList>
    <comment ref="E5" authorId="0">
      <text>
        <r>
          <rPr>
            <b/>
            <sz val="8"/>
            <color indexed="81"/>
            <rFont val="Tahoma"/>
            <family val="2"/>
          </rPr>
          <t>Al Appleby:</t>
        </r>
        <r>
          <rPr>
            <sz val="8"/>
            <color indexed="81"/>
            <rFont val="Tahoma"/>
            <family val="2"/>
          </rPr>
          <t xml:space="preserve">
Places times 38 weeks
</t>
        </r>
      </text>
    </comment>
    <comment ref="F5" authorId="0">
      <text>
        <r>
          <rPr>
            <b/>
            <sz val="8"/>
            <color indexed="81"/>
            <rFont val="Tahoma"/>
            <family val="2"/>
          </rPr>
          <t>Al Appleby:</t>
        </r>
        <r>
          <rPr>
            <sz val="8"/>
            <color indexed="81"/>
            <rFont val="Tahoma"/>
            <family val="2"/>
          </rPr>
          <t xml:space="preserve">
Places times 30 for two 15 hr sessions per week</t>
        </r>
      </text>
    </comment>
    <comment ref="N5" authorId="1">
      <text>
        <r>
          <rPr>
            <b/>
            <sz val="9"/>
            <color indexed="81"/>
            <rFont val="Tahoma"/>
            <family val="2"/>
          </rPr>
          <t>Goodacre, Kelly:</t>
        </r>
        <r>
          <rPr>
            <sz val="9"/>
            <color indexed="81"/>
            <rFont val="Tahoma"/>
            <family val="2"/>
          </rPr>
          <t xml:space="preserve">
All on 3.605 minimum hourly rate from 13-14</t>
        </r>
      </text>
    </comment>
    <comment ref="AC5" authorId="0">
      <text>
        <r>
          <rPr>
            <b/>
            <sz val="8"/>
            <color indexed="81"/>
            <rFont val="Tahoma"/>
            <family val="2"/>
          </rPr>
          <t>Al Appleby:</t>
        </r>
        <r>
          <rPr>
            <sz val="8"/>
            <color indexed="81"/>
            <rFont val="Tahoma"/>
            <family val="2"/>
          </rPr>
          <t xml:space="preserve">
For Nurseries with ERS Allocations</t>
        </r>
      </text>
    </comment>
    <comment ref="AE5" authorId="0">
      <text>
        <r>
          <rPr>
            <b/>
            <sz val="8"/>
            <color indexed="81"/>
            <rFont val="Tahoma"/>
            <family val="2"/>
          </rPr>
          <t>Al Appleby:</t>
        </r>
        <r>
          <rPr>
            <sz val="8"/>
            <color indexed="81"/>
            <rFont val="Tahoma"/>
            <family val="2"/>
          </rPr>
          <t xml:space="preserve">
Sum of four factors - Free, Paid, Base and Transport - for full Nurseries only - all school based Nurseries catering remains with school - linked to FINBUD
</t>
        </r>
      </text>
    </comment>
    <comment ref="AG5" authorId="0">
      <text>
        <r>
          <rPr>
            <b/>
            <sz val="8"/>
            <color indexed="81"/>
            <rFont val="Tahoma"/>
            <family val="2"/>
          </rPr>
          <t>Al Appleby:</t>
        </r>
        <r>
          <rPr>
            <sz val="8"/>
            <color indexed="81"/>
            <rFont val="Tahoma"/>
            <family val="2"/>
          </rPr>
          <t xml:space="preserve">
For Nurseries with TA Hours</t>
        </r>
      </text>
    </comment>
    <comment ref="AI5" authorId="0">
      <text>
        <r>
          <rPr>
            <b/>
            <sz val="8"/>
            <color indexed="81"/>
            <rFont val="Tahoma"/>
            <family val="2"/>
          </rPr>
          <t>Al Appleby:</t>
        </r>
        <r>
          <rPr>
            <sz val="8"/>
            <color indexed="81"/>
            <rFont val="Tahoma"/>
            <family val="2"/>
          </rPr>
          <t xml:space="preserve">
Maximum of 1</t>
        </r>
      </text>
    </comment>
    <comment ref="AJ5" authorId="0">
      <text>
        <r>
          <rPr>
            <b/>
            <sz val="8"/>
            <color indexed="81"/>
            <rFont val="Tahoma"/>
            <family val="2"/>
          </rPr>
          <t>Al Appleby:</t>
        </r>
        <r>
          <rPr>
            <sz val="8"/>
            <color indexed="81"/>
            <rFont val="Tahoma"/>
            <family val="2"/>
          </rPr>
          <t xml:space="preserve">
Amount to be based on actual cost of Graduate Leader not 23k</t>
        </r>
      </text>
    </comment>
  </commentList>
</comments>
</file>

<file path=xl/comments2.xml><?xml version="1.0" encoding="utf-8"?>
<comments xmlns="http://schemas.openxmlformats.org/spreadsheetml/2006/main">
  <authors>
    <author>Wain, Jocelyn</author>
  </authors>
  <commentList>
    <comment ref="AA14" authorId="0">
      <text>
        <r>
          <rPr>
            <b/>
            <sz val="9"/>
            <color indexed="81"/>
            <rFont val="Tahoma"/>
            <family val="2"/>
          </rPr>
          <t>Wain, Jocelyn:</t>
        </r>
        <r>
          <rPr>
            <sz val="9"/>
            <color indexed="81"/>
            <rFont val="Tahoma"/>
            <family val="2"/>
          </rPr>
          <t xml:space="preserve">
Funding for Mobility teacher - also used at Markeaton and Central Nursery. Increased from £20k to £25k as requested by St Bens</t>
        </r>
      </text>
    </comment>
  </commentList>
</comments>
</file>

<file path=xl/comments3.xml><?xml version="1.0" encoding="utf-8"?>
<comments xmlns="http://schemas.openxmlformats.org/spreadsheetml/2006/main">
  <authors>
    <author>Goodacre, Kelly</author>
  </authors>
  <commentList>
    <comment ref="W83" authorId="0">
      <text>
        <r>
          <rPr>
            <b/>
            <sz val="9"/>
            <color indexed="81"/>
            <rFont val="Tahoma"/>
            <family val="2"/>
          </rPr>
          <t>Goodacre, Kelly:</t>
        </r>
        <r>
          <rPr>
            <sz val="9"/>
            <color indexed="81"/>
            <rFont val="Tahoma"/>
            <family val="2"/>
          </rPr>
          <t xml:space="preserve">
excludes Horizons funding.</t>
        </r>
      </text>
    </comment>
  </commentList>
</comments>
</file>

<file path=xl/comments4.xml><?xml version="1.0" encoding="utf-8"?>
<comments xmlns="http://schemas.openxmlformats.org/spreadsheetml/2006/main">
  <authors>
    <author>Any DCC User</author>
  </authors>
  <commentList>
    <comment ref="C98" authorId="0">
      <text>
        <r>
          <rPr>
            <b/>
            <sz val="9"/>
            <color indexed="81"/>
            <rFont val="Tahoma"/>
            <family val="2"/>
          </rPr>
          <t>Any DCC User:</t>
        </r>
        <r>
          <rPr>
            <sz val="9"/>
            <color indexed="81"/>
            <rFont val="Tahoma"/>
            <family val="2"/>
          </rPr>
          <t xml:space="preserve">
45 Reception now year 1, 30 year 3 now year 4,  plus new 45 Reception and new year 3 intakes </t>
        </r>
      </text>
    </comment>
    <comment ref="AB117" authorId="0">
      <text>
        <r>
          <rPr>
            <b/>
            <sz val="9"/>
            <color indexed="81"/>
            <rFont val="Tahoma"/>
            <family val="2"/>
          </rPr>
          <t>Any DCC User:</t>
        </r>
        <r>
          <rPr>
            <sz val="9"/>
            <color indexed="81"/>
            <rFont val="Tahoma"/>
            <family val="2"/>
          </rPr>
          <t xml:space="preserve">
Schools exlc HN</t>
        </r>
      </text>
    </comment>
    <comment ref="AB118" authorId="0">
      <text>
        <r>
          <rPr>
            <b/>
            <sz val="9"/>
            <color indexed="81"/>
            <rFont val="Tahoma"/>
            <family val="2"/>
          </rPr>
          <t>Any DCC User:</t>
        </r>
        <r>
          <rPr>
            <sz val="9"/>
            <color indexed="81"/>
            <rFont val="Tahoma"/>
            <family val="2"/>
          </rPr>
          <t xml:space="preserve">
EY excl HN</t>
        </r>
      </text>
    </comment>
  </commentList>
</comments>
</file>

<file path=xl/sharedStrings.xml><?xml version="1.0" encoding="utf-8"?>
<sst xmlns="http://schemas.openxmlformats.org/spreadsheetml/2006/main" count="11747" uniqueCount="1425">
  <si>
    <t>Primary</t>
  </si>
  <si>
    <t>Secondary</t>
  </si>
  <si>
    <t>Ashgate Nursery</t>
  </si>
  <si>
    <t>Castle Nursery</t>
  </si>
  <si>
    <t>Central Nursery</t>
  </si>
  <si>
    <t>Harrington Nursery</t>
  </si>
  <si>
    <t>Lord St Nursery</t>
  </si>
  <si>
    <t>Stonehill Nursery</t>
  </si>
  <si>
    <t>Walbrook Nursery</t>
  </si>
  <si>
    <t>Whitecross Nursery</t>
  </si>
  <si>
    <t>Allenton Community Primary School</t>
  </si>
  <si>
    <t>Alvaston Infant and Nursery School</t>
  </si>
  <si>
    <t>Alvaston Junior Community School</t>
  </si>
  <si>
    <t>Arboretum Primary School</t>
  </si>
  <si>
    <t>Ash Croft Primary School</t>
  </si>
  <si>
    <t>Ashgate Primary School</t>
  </si>
  <si>
    <t>Asterdale Primary School</t>
  </si>
  <si>
    <t>Beaufort Community Primary School</t>
  </si>
  <si>
    <t>Becket Primary School</t>
  </si>
  <si>
    <t>Bishop Lonsdale Church of England (Aided) Primary School</t>
  </si>
  <si>
    <t>Borrow Wood Primary School</t>
  </si>
  <si>
    <t>Brackensdale Infant School</t>
  </si>
  <si>
    <t>Brackensdale Junior School</t>
  </si>
  <si>
    <t>Brookfield Primary School</t>
  </si>
  <si>
    <t>Carlyle Infant School</t>
  </si>
  <si>
    <t>Cavendish Close Infant School</t>
  </si>
  <si>
    <t>Cavendish Close Junior School</t>
  </si>
  <si>
    <t>Chaddesden Park Primary School</t>
  </si>
  <si>
    <t>Chellaston Infant School</t>
  </si>
  <si>
    <t>Chellaston Junior School</t>
  </si>
  <si>
    <t>Cherry Tree Hill Primary School</t>
  </si>
  <si>
    <t>Dale Community Primary School</t>
  </si>
  <si>
    <t>Derwent Community School</t>
  </si>
  <si>
    <t>Firs Estate Primary School</t>
  </si>
  <si>
    <t>Gayton Community Junior School</t>
  </si>
  <si>
    <t>Griffe Field Primary School</t>
  </si>
  <si>
    <t>Hardwick Primary School</t>
  </si>
  <si>
    <t>Lakeside Community Primary School</t>
  </si>
  <si>
    <t>Lawn Primary School</t>
  </si>
  <si>
    <t>Markeaton Primary School</t>
  </si>
  <si>
    <t>Meadow Farm Community Primary School</t>
  </si>
  <si>
    <t>Mickleover Primary School</t>
  </si>
  <si>
    <t>Landau Forte Academy Moorhead</t>
  </si>
  <si>
    <t>Osmaston Primary School</t>
  </si>
  <si>
    <t>Oakwood Junior School</t>
  </si>
  <si>
    <t>Parkview Primary School</t>
  </si>
  <si>
    <t>Pear Tree Community Junior School</t>
  </si>
  <si>
    <t>Pear Tree Infant School</t>
  </si>
  <si>
    <t>Portway Infant School</t>
  </si>
  <si>
    <t>Portway Junior School</t>
  </si>
  <si>
    <t>Ravensdale Junior School</t>
  </si>
  <si>
    <t>Redwood Primary School</t>
  </si>
  <si>
    <t>Reigate Primary School</t>
  </si>
  <si>
    <t>Ridgeway Infant School</t>
  </si>
  <si>
    <t>Roe Farm Primary School</t>
  </si>
  <si>
    <t>Rosehill Infant and Nursery School</t>
  </si>
  <si>
    <t>Shelton Infant School</t>
  </si>
  <si>
    <t>Shelton Junior School</t>
  </si>
  <si>
    <t>Silverhill Primary School</t>
  </si>
  <si>
    <t>Springfield Primary School</t>
  </si>
  <si>
    <t>St Alban's Catholic Primary School</t>
  </si>
  <si>
    <t>St Chad's Church of England (Controlled) Nursery and Infant School</t>
  </si>
  <si>
    <t>St George's Catholic Voluntary Academy</t>
  </si>
  <si>
    <t>St James' Church of England (Aided) Infant School and Nursery</t>
  </si>
  <si>
    <t>St John Fisher Catholic Voluntary Academy</t>
  </si>
  <si>
    <t>Village Primary School</t>
  </si>
  <si>
    <t>Walter Evans Church of England (Aided) Primary School</t>
  </si>
  <si>
    <t>Wren Park Primary School</t>
  </si>
  <si>
    <t>da Vinci Community College</t>
  </si>
  <si>
    <t>Lees Brook Community Sports College</t>
  </si>
  <si>
    <t>Littleover Community School</t>
  </si>
  <si>
    <t>Merrill College</t>
  </si>
  <si>
    <t>Saint Benedict Catholic Voluntary Academy</t>
  </si>
  <si>
    <t>Allestree Woodlands School</t>
  </si>
  <si>
    <t>West Park School</t>
  </si>
  <si>
    <t>Chellaston Academy</t>
  </si>
  <si>
    <t>Rates</t>
  </si>
  <si>
    <t>Amount per secondary pupil £</t>
  </si>
  <si>
    <t>Amount per KS3 pupil £</t>
  </si>
  <si>
    <t>Amount per KS4 pupil £</t>
  </si>
  <si>
    <t>Per pupil (all prim &amp; sec pupils)</t>
  </si>
  <si>
    <t>DfE Number</t>
  </si>
  <si>
    <t>Primary pupils R to Yr6</t>
  </si>
  <si>
    <t>KS3 pupils</t>
  </si>
  <si>
    <t>KS4 pupils</t>
  </si>
  <si>
    <t>Total NOR</t>
  </si>
  <si>
    <t>Higher Needs Primary pupils R to Yr6</t>
  </si>
  <si>
    <t>Higher Needs KS3 pupils</t>
  </si>
  <si>
    <t>Higher Needs KS4 pupils</t>
  </si>
  <si>
    <t>Net Primary pupils R to Yr6</t>
  </si>
  <si>
    <t>Net KS3 pupils</t>
  </si>
  <si>
    <t>Net KS4 pupils</t>
  </si>
  <si>
    <t>Net NOR</t>
  </si>
  <si>
    <t>1) Basic Entitlement - Age Weighted Pupil Funding (AWPU) £</t>
  </si>
  <si>
    <t>Alvaston Junior School</t>
  </si>
  <si>
    <t>Bishop Lonsdale Church of England Aided Primary School</t>
  </si>
  <si>
    <t>Wyndham Primary Academy</t>
  </si>
  <si>
    <t>Chaddesden Park Primary</t>
  </si>
  <si>
    <t>Derby St Chad's CE (VC) Nursery and Infant School</t>
  </si>
  <si>
    <t>Grampian Primary Academy</t>
  </si>
  <si>
    <t>Homefields Primary School</t>
  </si>
  <si>
    <t>Oakwood Infant and Nursery School</t>
  </si>
  <si>
    <t>Ravensdale Infant and Nursery School</t>
  </si>
  <si>
    <t>St James' Church of England Aided Infant School</t>
  </si>
  <si>
    <t>St James' Church of England Aided Junior School</t>
  </si>
  <si>
    <t>St Joseph's Catholic Primary School, Derby</t>
  </si>
  <si>
    <t>St Mary's Catholic Primary School and Nursery</t>
  </si>
  <si>
    <t>St Peter's Church of England Aided Junior School</t>
  </si>
  <si>
    <t>St Werburgh's Church of England VA Primary School</t>
  </si>
  <si>
    <t>Walter Evans Church of England Aided Primary School</t>
  </si>
  <si>
    <t>Total Primary</t>
  </si>
  <si>
    <t>Derby Moor Community Sports College</t>
  </si>
  <si>
    <t>Murray Park School</t>
  </si>
  <si>
    <t>Noel Baker Community School and Language College</t>
  </si>
  <si>
    <t>The Bemrose School</t>
  </si>
  <si>
    <t>Total Secondary</t>
  </si>
  <si>
    <t>All Schools</t>
  </si>
  <si>
    <t>All</t>
  </si>
  <si>
    <t>School</t>
  </si>
  <si>
    <t>DfE No</t>
  </si>
  <si>
    <t>IDACI Band 1 0.2 - 0.25</t>
  </si>
  <si>
    <t>IDACI Band 2 0.25 - 0.3</t>
  </si>
  <si>
    <t>IDACI Band 3 0.3 - 0.4</t>
  </si>
  <si>
    <t>IDACI Band 4 0.4 - 0.5</t>
  </si>
  <si>
    <t>IDACI Band 5 0.5 - 0.6</t>
  </si>
  <si>
    <t>IDACI Band 6 0.6 -1.0</t>
  </si>
  <si>
    <t>Chaddesden Park Junior School</t>
  </si>
  <si>
    <t>Pre MFG Total</t>
  </si>
  <si>
    <t>MFG</t>
  </si>
  <si>
    <t>Deprivation £</t>
  </si>
  <si>
    <t>LAC £</t>
  </si>
  <si>
    <t>LCHI SEN £</t>
  </si>
  <si>
    <t>EAL £</t>
  </si>
  <si>
    <t>Mobility £</t>
  </si>
  <si>
    <t>Lump Sum £</t>
  </si>
  <si>
    <t>Split Site £</t>
  </si>
  <si>
    <t>PFI £</t>
  </si>
  <si>
    <t>City of Derby Academy / Sinfin Community School</t>
  </si>
  <si>
    <t>Cap</t>
  </si>
  <si>
    <t>AWPU inc delegated Budget £</t>
  </si>
  <si>
    <t>De-delegation</t>
  </si>
  <si>
    <t>Net School budget</t>
  </si>
  <si>
    <t>Budget before De-Delegation</t>
  </si>
  <si>
    <t>KS1 Class Factor</t>
  </si>
  <si>
    <t>ERS</t>
  </si>
  <si>
    <t>TA Hours</t>
  </si>
  <si>
    <t>Sixth Form</t>
  </si>
  <si>
    <t>Nursery</t>
  </si>
  <si>
    <t>Contingency</t>
  </si>
  <si>
    <t>Total</t>
  </si>
  <si>
    <t>Ivy House</t>
  </si>
  <si>
    <t>St Andrews</t>
  </si>
  <si>
    <t>St Clares</t>
  </si>
  <si>
    <t>St Giles</t>
  </si>
  <si>
    <t>St Martins</t>
  </si>
  <si>
    <t>Kingsmead</t>
  </si>
  <si>
    <t>Derby City Pupil Numbers</t>
  </si>
  <si>
    <t>Other LA Pupil Numbers</t>
  </si>
  <si>
    <t>Total Pupil Numbers</t>
  </si>
  <si>
    <t>Pre-16 Students</t>
  </si>
  <si>
    <t>Band 1</t>
  </si>
  <si>
    <t>Band 2</t>
  </si>
  <si>
    <t>Band 3</t>
  </si>
  <si>
    <t>Band 4</t>
  </si>
  <si>
    <t>Band 5</t>
  </si>
  <si>
    <t>Band 6</t>
  </si>
  <si>
    <t>Place Funding</t>
  </si>
  <si>
    <t>Top Up Funding DCC</t>
  </si>
  <si>
    <t>Residential Provision</t>
  </si>
  <si>
    <t>PFI</t>
  </si>
  <si>
    <t>Sub Total DCC</t>
  </si>
  <si>
    <t>Top Up Funding Other LA</t>
  </si>
  <si>
    <t>Total School Funding</t>
  </si>
  <si>
    <t>Total Places</t>
  </si>
  <si>
    <t>DCC Pre 16</t>
  </si>
  <si>
    <t>Other LA Pre 16</t>
  </si>
  <si>
    <t>Yr1-2</t>
  </si>
  <si>
    <t>Yr3-6</t>
  </si>
  <si>
    <t>Yr7+</t>
  </si>
  <si>
    <t>£</t>
  </si>
  <si>
    <t>Post 16 Students</t>
  </si>
  <si>
    <t>DCC Post 16</t>
  </si>
  <si>
    <t>Other LA Post 16</t>
  </si>
  <si>
    <t>Sub Total</t>
  </si>
  <si>
    <t>Total DCC</t>
  </si>
  <si>
    <t>Total Other LA</t>
  </si>
  <si>
    <t>Derby City Places</t>
  </si>
  <si>
    <t>Other LA Places</t>
  </si>
  <si>
    <t>Top Up Funding</t>
  </si>
  <si>
    <t>Other</t>
  </si>
  <si>
    <t>Derby City</t>
  </si>
  <si>
    <t>Other LA Top Up</t>
  </si>
  <si>
    <t>Springfield</t>
  </si>
  <si>
    <t>Becket Primary</t>
  </si>
  <si>
    <t>Lakeside Community Primary</t>
  </si>
  <si>
    <t>Total Pre 16 Places</t>
  </si>
  <si>
    <t>Total Post 16 Places</t>
  </si>
  <si>
    <t>Total School Places</t>
  </si>
  <si>
    <t>EAL</t>
  </si>
  <si>
    <t>Breadsall Hill Top Primary School</t>
  </si>
  <si>
    <t>TA</t>
  </si>
  <si>
    <t>Setting Type</t>
  </si>
  <si>
    <t>E200201</t>
  </si>
  <si>
    <t>S</t>
  </si>
  <si>
    <t>E200401</t>
  </si>
  <si>
    <t>E100101</t>
  </si>
  <si>
    <t>M</t>
  </si>
  <si>
    <t>E200701</t>
  </si>
  <si>
    <t>E200801</t>
  </si>
  <si>
    <t>E200901</t>
  </si>
  <si>
    <t>E201001</t>
  </si>
  <si>
    <t>E201201</t>
  </si>
  <si>
    <t>E201401</t>
  </si>
  <si>
    <t>E201601</t>
  </si>
  <si>
    <t>E201801</t>
  </si>
  <si>
    <t>E201901</t>
  </si>
  <si>
    <t>E100201</t>
  </si>
  <si>
    <t>E202001</t>
  </si>
  <si>
    <t>E100301</t>
  </si>
  <si>
    <t>E202201</t>
  </si>
  <si>
    <t>E202601</t>
  </si>
  <si>
    <t>E202901</t>
  </si>
  <si>
    <t>E203001</t>
  </si>
  <si>
    <t>E203301</t>
  </si>
  <si>
    <t>E203401</t>
  </si>
  <si>
    <t>E100401</t>
  </si>
  <si>
    <t>E203501</t>
  </si>
  <si>
    <t>E203601</t>
  </si>
  <si>
    <t>E100501</t>
  </si>
  <si>
    <t>E203901</t>
  </si>
  <si>
    <t>E204201</t>
  </si>
  <si>
    <t>E204701</t>
  </si>
  <si>
    <t>E204901</t>
  </si>
  <si>
    <t>E205401</t>
  </si>
  <si>
    <t>E205601</t>
  </si>
  <si>
    <t>E205801</t>
  </si>
  <si>
    <t>E206001</t>
  </si>
  <si>
    <t>E206101</t>
  </si>
  <si>
    <t>E206201</t>
  </si>
  <si>
    <t>E206501</t>
  </si>
  <si>
    <t>E206701</t>
  </si>
  <si>
    <t>E206801</t>
  </si>
  <si>
    <t>E207001</t>
  </si>
  <si>
    <t>E207401</t>
  </si>
  <si>
    <t>E100601</t>
  </si>
  <si>
    <t>E204501</t>
  </si>
  <si>
    <t>E100701</t>
  </si>
  <si>
    <t>E207801</t>
  </si>
  <si>
    <t>E100801</t>
  </si>
  <si>
    <t>Ace Nursery</t>
  </si>
  <si>
    <t>DE23 8DH</t>
  </si>
  <si>
    <t>D</t>
  </si>
  <si>
    <t>An-Noor Nursery</t>
  </si>
  <si>
    <t>EY362920</t>
  </si>
  <si>
    <t>Becket Sure Start Children's Centre</t>
  </si>
  <si>
    <t>DE22 3WR</t>
  </si>
  <si>
    <t>EY380753</t>
  </si>
  <si>
    <t>Best Start Sinfin</t>
  </si>
  <si>
    <t>EY467568</t>
  </si>
  <si>
    <t>Best Start Sunnyhill</t>
  </si>
  <si>
    <t>EY467617</t>
  </si>
  <si>
    <t>Best Start Arboretum</t>
  </si>
  <si>
    <t>Bizzy Kidz</t>
  </si>
  <si>
    <t>EY450983</t>
  </si>
  <si>
    <t>Boulton Lane Park Pre-School Playgroup</t>
  </si>
  <si>
    <t>DE24 0BD</t>
  </si>
  <si>
    <t>P</t>
  </si>
  <si>
    <t>Bramble Brook Pre-School  Playgroup</t>
  </si>
  <si>
    <t>DE3 9HD</t>
  </si>
  <si>
    <t>EY282068</t>
  </si>
  <si>
    <t>Busy Bees Pre-School</t>
  </si>
  <si>
    <t>DE22 2HE</t>
  </si>
  <si>
    <t>Busy Bees-Derby, Heatherton</t>
  </si>
  <si>
    <t>DE23 3TZ</t>
  </si>
  <si>
    <t>Carlton Private Day Nursery</t>
  </si>
  <si>
    <t>DE22 1GQ</t>
  </si>
  <si>
    <t>Childcare @ St James Centre</t>
  </si>
  <si>
    <t>EY396374</t>
  </si>
  <si>
    <t>Chuckles Pre-School Playgroup</t>
  </si>
  <si>
    <t>DE24 0RU</t>
  </si>
  <si>
    <t>Creative Steps (E Moore &amp; S Patton T/A)</t>
  </si>
  <si>
    <t>Derby Asian Women's Training Association Ltd</t>
  </si>
  <si>
    <t>EY471750</t>
  </si>
  <si>
    <t>EY260966</t>
  </si>
  <si>
    <t>EY240000</t>
  </si>
  <si>
    <t>EY350863</t>
  </si>
  <si>
    <t>New6</t>
  </si>
  <si>
    <t>EY336463</t>
  </si>
  <si>
    <t>EY251518</t>
  </si>
  <si>
    <t>EY369088</t>
  </si>
  <si>
    <t>EY464494</t>
  </si>
  <si>
    <t>EY340934</t>
  </si>
  <si>
    <t>EY205978</t>
  </si>
  <si>
    <t>EY225750</t>
  </si>
  <si>
    <t>EY360259</t>
  </si>
  <si>
    <t>EY268223</t>
  </si>
  <si>
    <t>EY278371</t>
  </si>
  <si>
    <t>EY206031</t>
  </si>
  <si>
    <t>EY347944</t>
  </si>
  <si>
    <t>EY335566</t>
  </si>
  <si>
    <t>EY299849</t>
  </si>
  <si>
    <t>EY318345</t>
  </si>
  <si>
    <t>Derby High School</t>
  </si>
  <si>
    <t>EY240925</t>
  </si>
  <si>
    <t>Derby Montessori School</t>
  </si>
  <si>
    <t>DE22 3LN</t>
  </si>
  <si>
    <t>EY218880</t>
  </si>
  <si>
    <t>Diamond Day PDN</t>
  </si>
  <si>
    <t>EY421215</t>
  </si>
  <si>
    <t>Elvaston Lane Pre-School Playgroup</t>
  </si>
  <si>
    <t>DE24 0PE</t>
  </si>
  <si>
    <t>Emmanuel School</t>
  </si>
  <si>
    <t>DE22 1FP</t>
  </si>
  <si>
    <t>EY345674</t>
  </si>
  <si>
    <t>Field Lane Playgroup Ltd</t>
  </si>
  <si>
    <t>DE24 0GW</t>
  </si>
  <si>
    <t>EY307423</t>
  </si>
  <si>
    <t>First Friends Private Day Nursery</t>
  </si>
  <si>
    <t>DE21 6HP</t>
  </si>
  <si>
    <t>First Steps Early Years Centre</t>
  </si>
  <si>
    <t>EY440848</t>
  </si>
  <si>
    <t>Heatherton Pre-School</t>
  </si>
  <si>
    <t>EY406182</t>
  </si>
  <si>
    <t>Homelands Early Years Centre</t>
  </si>
  <si>
    <t>EY440937</t>
  </si>
  <si>
    <t>Horwood Avenue Pre-School</t>
  </si>
  <si>
    <t>DE22 3PB</t>
  </si>
  <si>
    <t>Jack N Jill Nursery</t>
  </si>
  <si>
    <t>DE1 1RY</t>
  </si>
  <si>
    <t>EY384884</t>
  </si>
  <si>
    <t>King George V Pre-School</t>
  </si>
  <si>
    <t>DE23 6GT</t>
  </si>
  <si>
    <t>Kingfisher Day Nursery</t>
  </si>
  <si>
    <t>EY285324</t>
  </si>
  <si>
    <t>Kingfisher Day Nurser Pre-School And A</t>
  </si>
  <si>
    <t>EY285337</t>
  </si>
  <si>
    <t>Kingfisher Day Nursery (2)</t>
  </si>
  <si>
    <t>EY371448</t>
  </si>
  <si>
    <t>La Petite Academy</t>
  </si>
  <si>
    <t>DE23 1DG</t>
  </si>
  <si>
    <t>Leapfrog Day Nursery(1)</t>
  </si>
  <si>
    <t>DE21 2SF</t>
  </si>
  <si>
    <t>Leapfrogs Pre School</t>
  </si>
  <si>
    <t>DE73 6UT</t>
  </si>
  <si>
    <t>Little Acorns Nursery</t>
  </si>
  <si>
    <t>DE22 3LX</t>
  </si>
  <si>
    <t>Little Oaks</t>
  </si>
  <si>
    <t>EY425466</t>
  </si>
  <si>
    <t>Little Oaks Nursery and Out of School Club</t>
  </si>
  <si>
    <t>EY467587</t>
  </si>
  <si>
    <t>Little Poppies Pre-School ( Royal British</t>
  </si>
  <si>
    <t>DE3 9GB</t>
  </si>
  <si>
    <t>EY371611</t>
  </si>
  <si>
    <t>Little Scholars Private Day Nursery(1) Sunnyhill</t>
  </si>
  <si>
    <t>DE23 1GQ</t>
  </si>
  <si>
    <t>Little Scholars Private Day Nursery(2) Littleover</t>
  </si>
  <si>
    <t>DE23 3EY</t>
  </si>
  <si>
    <t>Littlesteps Pre- School</t>
  </si>
  <si>
    <t>DE23 6EP</t>
  </si>
  <si>
    <t>EY385725</t>
  </si>
  <si>
    <t>Little Steps Playschool C.I.C</t>
  </si>
  <si>
    <t>EY471706</t>
  </si>
  <si>
    <t>Mary Poppins Day Nursery</t>
  </si>
  <si>
    <t>DE3 9AJ</t>
  </si>
  <si>
    <t>Mickleover Methodist Playgroup</t>
  </si>
  <si>
    <t>DE3 9GH</t>
  </si>
  <si>
    <t>Oak House Nursery</t>
  </si>
  <si>
    <t>DE3 9FN</t>
  </si>
  <si>
    <t>EY304261</t>
  </si>
  <si>
    <t>Oaktree Day Nursery</t>
  </si>
  <si>
    <t>DE21 6ND</t>
  </si>
  <si>
    <t>Orchard Day Nursery And Nursery Scho</t>
  </si>
  <si>
    <t>DE73 5SB</t>
  </si>
  <si>
    <t>Orchard Nursery School(1)</t>
  </si>
  <si>
    <t>DE73 6RF</t>
  </si>
  <si>
    <t>Park Playgroup (the)</t>
  </si>
  <si>
    <t>DE21 6LN</t>
  </si>
  <si>
    <t>Play &amp; Learn</t>
  </si>
  <si>
    <t>DE23 6HB</t>
  </si>
  <si>
    <t>EY284120</t>
  </si>
  <si>
    <t>Play Corner - Day Nursery</t>
  </si>
  <si>
    <t>EY331291</t>
  </si>
  <si>
    <t>Playaway Nursery</t>
  </si>
  <si>
    <t>DE22 3HX</t>
  </si>
  <si>
    <t>EY261314</t>
  </si>
  <si>
    <t>Playdays Opportunity Group</t>
  </si>
  <si>
    <t>DE24 9RJ</t>
  </si>
  <si>
    <t>Positive Steps Childcare</t>
  </si>
  <si>
    <t>EY370198</t>
  </si>
  <si>
    <t>DE24 8AJ</t>
  </si>
  <si>
    <t>Pride Park Day Nursery</t>
  </si>
  <si>
    <t>EY283730</t>
  </si>
  <si>
    <t>Riverside Day Nursery - Asquith Court</t>
  </si>
  <si>
    <t>DE24 8HX</t>
  </si>
  <si>
    <t>EY283239</t>
  </si>
  <si>
    <t>Rosehill Early Years Centre</t>
  </si>
  <si>
    <t>EY440893</t>
  </si>
  <si>
    <t>Royal School For The Deaf</t>
  </si>
  <si>
    <t>DE22 3BH</t>
  </si>
  <si>
    <t>Rydale Childrens Centre P D N</t>
  </si>
  <si>
    <t>DE22 4EN</t>
  </si>
  <si>
    <t>EY370254</t>
  </si>
  <si>
    <t>Shelton Lock Pre-School</t>
  </si>
  <si>
    <t>DE24 9EJ</t>
  </si>
  <si>
    <t>EY347673</t>
  </si>
  <si>
    <t>Silver Trees Private Day Nursery</t>
  </si>
  <si>
    <t>DE22 3AD</t>
  </si>
  <si>
    <t>EY282326</t>
  </si>
  <si>
    <t>Sinfin Community Childcare</t>
  </si>
  <si>
    <t>DE24 9HG</t>
  </si>
  <si>
    <t>EY279508</t>
  </si>
  <si>
    <t>Sinfin Community Childcare at SCILLS Community Centre</t>
  </si>
  <si>
    <t>EY456892</t>
  </si>
  <si>
    <t>St Andrew's Pre-School Playgroup</t>
  </si>
  <si>
    <t>DE23 7PX</t>
  </si>
  <si>
    <t>St Edmunds Pre-School And Playgroup</t>
  </si>
  <si>
    <t>DE22 2NF</t>
  </si>
  <si>
    <t>St Joseph's R. C. Pre-School</t>
  </si>
  <si>
    <t>DE23 6SB</t>
  </si>
  <si>
    <t>St Paul's Church Hall Pre-School</t>
  </si>
  <si>
    <t>EY395637</t>
  </si>
  <si>
    <t>Sure Start Derwent Stepping Stones</t>
  </si>
  <si>
    <t>DE21 6AH</t>
  </si>
  <si>
    <t>EY330097</t>
  </si>
  <si>
    <t>The Cottage Private Day Nursery(1)</t>
  </si>
  <si>
    <t>DE22 3PD</t>
  </si>
  <si>
    <t>EY100960</t>
  </si>
  <si>
    <t>The Cottage Private Day Nursery(3)</t>
  </si>
  <si>
    <t>The Light House</t>
  </si>
  <si>
    <t>DE21 6AL</t>
  </si>
  <si>
    <t>EY359739</t>
  </si>
  <si>
    <t>The Orchard Garden Private Day Nurser</t>
  </si>
  <si>
    <t>DE1 1RX</t>
  </si>
  <si>
    <t>EY103452</t>
  </si>
  <si>
    <t>Tiny Tots Day Nursery</t>
  </si>
  <si>
    <t>DE24 0JP</t>
  </si>
  <si>
    <t>Treetops Private Day Nursery</t>
  </si>
  <si>
    <t>DE21 2DF</t>
  </si>
  <si>
    <t>Village Learning Centre Creche</t>
  </si>
  <si>
    <t>EY467205</t>
  </si>
  <si>
    <t>White House Kids Club</t>
  </si>
  <si>
    <t>DE72 3HB</t>
  </si>
  <si>
    <t>EY393352</t>
  </si>
  <si>
    <t>Whitehouse Day Nursery Limited</t>
  </si>
  <si>
    <t>EY431769</t>
  </si>
  <si>
    <t>White House Day Nursery Alvaston</t>
  </si>
  <si>
    <t>EY452684</t>
  </si>
  <si>
    <t>Woodlands Private Day Nursery</t>
  </si>
  <si>
    <t>DE22 1BJ</t>
  </si>
  <si>
    <t>ERS Other LA Top up</t>
  </si>
  <si>
    <t>Stand Alone Nurseries</t>
  </si>
  <si>
    <t>Cottons Farm Primary School</t>
  </si>
  <si>
    <t>City of Derby Academy</t>
  </si>
  <si>
    <t>Landau Forte College</t>
  </si>
  <si>
    <t>Al Madinah</t>
  </si>
  <si>
    <t>Cotton's Farm Primary School</t>
  </si>
  <si>
    <t>Factor</t>
  </si>
  <si>
    <t>Description</t>
  </si>
  <si>
    <t>Number of Pupils</t>
  </si>
  <si>
    <t>Sub total (£)</t>
  </si>
  <si>
    <t>1) Basic Entitlement - Age Weighted Pupil Funding (AWPU)</t>
  </si>
  <si>
    <t>Primary (including reception)</t>
  </si>
  <si>
    <t>Primary amount per pupil</t>
  </si>
  <si>
    <t>Secondary amount per pupil</t>
  </si>
  <si>
    <t>Number of eligible primary pupils</t>
  </si>
  <si>
    <t>Number of eligible secondary pupils</t>
  </si>
  <si>
    <t>2) Deprivation</t>
  </si>
  <si>
    <t>FSM Ever 6</t>
  </si>
  <si>
    <t>Amount per pupil</t>
  </si>
  <si>
    <t>Total (£)</t>
  </si>
  <si>
    <t>3) Looked After Children (LAC)</t>
  </si>
  <si>
    <t>4) Low cost, high incidence SEN (Prior Attainment)</t>
  </si>
  <si>
    <t>5) English as an Additional Language</t>
  </si>
  <si>
    <t>Primary pupils EAL funded for first 3 years in Statutory Education</t>
  </si>
  <si>
    <t>Secondary pupils EAL funded for first 3 years in Statutory Education</t>
  </si>
  <si>
    <t>6) Mobility</t>
  </si>
  <si>
    <t>Primary pupils included in the October School Census who did not start in August or September (Last 3 academic years)</t>
  </si>
  <si>
    <t>Secondary pupils included in the October School Census who did not start in August or September (Last 3 academic years)</t>
  </si>
  <si>
    <t>Amount of lump sum</t>
  </si>
  <si>
    <t>Number</t>
  </si>
  <si>
    <t>7) Lump Sum</t>
  </si>
  <si>
    <t>Amount of split site funding</t>
  </si>
  <si>
    <t>8) Split Site</t>
  </si>
  <si>
    <t>Amount of PFI funding</t>
  </si>
  <si>
    <t>Minimum Funding Guarantee (-1.5%)</t>
  </si>
  <si>
    <t>Minimum Funding Guarantee</t>
  </si>
  <si>
    <t>CAP</t>
  </si>
  <si>
    <t>Additional Funding</t>
  </si>
  <si>
    <t>TA Hours funding (£)</t>
  </si>
  <si>
    <t>TA Hours out of catchment funding £</t>
  </si>
  <si>
    <t>DfE No or Ofsted ID</t>
  </si>
  <si>
    <t>1. Base Rate(s) per hour, per provider type.   Setting Type</t>
  </si>
  <si>
    <t>Amount (£)</t>
  </si>
  <si>
    <t>Number of units</t>
  </si>
  <si>
    <t>Anticipated Total Budget (£)</t>
  </si>
  <si>
    <t>per hour</t>
  </si>
  <si>
    <t>S = Stand Alone Maintained Nursery School</t>
  </si>
  <si>
    <t>P = Pre School</t>
  </si>
  <si>
    <t>D = Day Nursery</t>
  </si>
  <si>
    <t>Deprivation (Mandatory) Supplement</t>
  </si>
  <si>
    <t>Unit</t>
  </si>
  <si>
    <t>IMD</t>
  </si>
  <si>
    <t>Vulnerable Children</t>
  </si>
  <si>
    <t>Quality Supplements</t>
  </si>
  <si>
    <t xml:space="preserve">Unit </t>
  </si>
  <si>
    <t>lump sum</t>
  </si>
  <si>
    <t>3. Other formula
factors and lump sums (if applicable)</t>
  </si>
  <si>
    <t>Base for Stand Alone Maintained Nurseries</t>
  </si>
  <si>
    <t>ERS for Stand Alone Maintained Nurseries</t>
  </si>
  <si>
    <t>TA Hours for Stand Alone Maintained Nurseries</t>
  </si>
  <si>
    <t>Indicative Sixth Form (not yet known)</t>
  </si>
  <si>
    <t>All Specials</t>
  </si>
  <si>
    <t>DFE</t>
  </si>
  <si>
    <t>Places</t>
  </si>
  <si>
    <t>Rate</t>
  </si>
  <si>
    <t>Residential Places</t>
  </si>
  <si>
    <t>CLICK ON THE ARROW BUTTON TO SELECT YOUR SCHOOL FROM THE LIST</t>
  </si>
  <si>
    <t>ALL</t>
  </si>
  <si>
    <t>Place led funding - Special Schools Post 16</t>
  </si>
  <si>
    <t>See separate breakdown sheet</t>
  </si>
  <si>
    <t>Ivy House School</t>
  </si>
  <si>
    <t>E400101</t>
  </si>
  <si>
    <t>St Andrew's School</t>
  </si>
  <si>
    <t>E400201</t>
  </si>
  <si>
    <t>St Clare's School</t>
  </si>
  <si>
    <t>E400301</t>
  </si>
  <si>
    <t>St Giles' School</t>
  </si>
  <si>
    <t>E400401</t>
  </si>
  <si>
    <t>E400501</t>
  </si>
  <si>
    <t>KS3/4 PRU</t>
  </si>
  <si>
    <t>KS1/2 PRU</t>
  </si>
  <si>
    <t>E500101</t>
  </si>
  <si>
    <t>E500202</t>
  </si>
  <si>
    <t>E400601</t>
  </si>
  <si>
    <t>Figures not yet confirmed</t>
  </si>
  <si>
    <t>RATES</t>
  </si>
  <si>
    <t>ERS Pupils</t>
  </si>
  <si>
    <t>Derby City Childminding Network - AW</t>
  </si>
  <si>
    <t>Derby City Childminding Network - AR</t>
  </si>
  <si>
    <t>Derby City Childminding Network - AJH</t>
  </si>
  <si>
    <t>Derby City Childminding Network - CJH</t>
  </si>
  <si>
    <t>Derby City Childminding Network - DK</t>
  </si>
  <si>
    <t>Derby City Childminding Network - JMS</t>
  </si>
  <si>
    <t>Derby City Childminding Network - KW</t>
  </si>
  <si>
    <t>Derby City Childminding Network - LKD</t>
  </si>
  <si>
    <t>Derby City Childminding Network - RW</t>
  </si>
  <si>
    <t>Derby City Childminding Network - RSW</t>
  </si>
  <si>
    <t>Derby City Childminding Network - RP</t>
  </si>
  <si>
    <t>Derby City Childminding Network - SLB</t>
  </si>
  <si>
    <t>Derby City Childminding Network - TLA</t>
  </si>
  <si>
    <t>Derby City Childminding Network - WJW</t>
  </si>
  <si>
    <t>TA Hours OOC</t>
  </si>
  <si>
    <t>Other LA Top up</t>
  </si>
  <si>
    <t>ERS - Other</t>
  </si>
  <si>
    <t>Number of Pupils (Net of High Needs Places)</t>
  </si>
  <si>
    <t>Academy</t>
  </si>
  <si>
    <t>Notional SEN %</t>
  </si>
  <si>
    <t>Notional SEN within School Budget £</t>
  </si>
  <si>
    <t>See Separate breakdown</t>
  </si>
  <si>
    <t xml:space="preserve">Per LAC child </t>
  </si>
  <si>
    <t>Secondary pupils not achieving KS2 level 4 English or Maths</t>
  </si>
  <si>
    <t>£100K Primary £150K Secondary</t>
  </si>
  <si>
    <t>KS1 Class Factor (Teacher required for 1:30 pupils ratio)</t>
  </si>
  <si>
    <t>PFI to be paid back to the LA</t>
  </si>
  <si>
    <t xml:space="preserve">Place led funding - Special Schools Pre 16 </t>
  </si>
  <si>
    <t>Indicative ERS Pupils Top up funding</t>
  </si>
  <si>
    <t>ERS Place Rate</t>
  </si>
  <si>
    <t xml:space="preserve">Place led funding - ERS Pre 16 </t>
  </si>
  <si>
    <t>Place led funding - ERS Post 16</t>
  </si>
  <si>
    <t>Including both Pre 16 &amp; Post 16 Funding</t>
  </si>
  <si>
    <t>ERS Pupil Top up funding</t>
  </si>
  <si>
    <t>Schools</t>
  </si>
  <si>
    <t>Net Rates</t>
  </si>
  <si>
    <t>KS1</t>
  </si>
  <si>
    <t>Grand Total</t>
  </si>
  <si>
    <t>Rec</t>
  </si>
  <si>
    <t>Plus Special</t>
  </si>
  <si>
    <t>Special &amp; Pru</t>
  </si>
  <si>
    <t>excl Nurs</t>
  </si>
  <si>
    <t>M = Maintained Nursery at a School / Academy</t>
  </si>
  <si>
    <t>Total Nursery</t>
  </si>
  <si>
    <t>St Martins School including Horizons</t>
  </si>
  <si>
    <t>Total incl Rates</t>
  </si>
  <si>
    <t>Other LA TP &amp; Sixth Form</t>
  </si>
  <si>
    <t>Key Stage 3</t>
  </si>
  <si>
    <t>Key Stage 4</t>
  </si>
  <si>
    <t>Please select your School or Nursery Setting Name in the cell below</t>
  </si>
  <si>
    <t>Derby City Childminding Network - CM</t>
  </si>
  <si>
    <t>Derby City Childminding Network - CP</t>
  </si>
  <si>
    <t>Derby City Childminding Network - C H-P</t>
  </si>
  <si>
    <t>Derby City Childminding Network - SM</t>
  </si>
  <si>
    <t>Derby City Childminding Network - PW</t>
  </si>
  <si>
    <t>Derby City Childminding Network - SJT</t>
  </si>
  <si>
    <t>Derby City Childminding Network - SR</t>
  </si>
  <si>
    <t>Derby City Childminding Network - JA</t>
  </si>
  <si>
    <t>Derby City Childminding Network - ZB</t>
  </si>
  <si>
    <t>E202101</t>
  </si>
  <si>
    <t>Landau Forte College (Fox Street)</t>
  </si>
  <si>
    <t>*Please note that High Needs top up funding follows the pupil, therefore funding will be adjusted in year where there are pupil movements</t>
  </si>
  <si>
    <t>High Needs Funding from Derby City / EFA*</t>
  </si>
  <si>
    <r>
      <t>Other LA Top up funding</t>
    </r>
    <r>
      <rPr>
        <sz val="12"/>
        <rFont val="Arial"/>
        <family val="2"/>
      </rPr>
      <t xml:space="preserve"> (Income not Budget)</t>
    </r>
    <r>
      <rPr>
        <b/>
        <sz val="12"/>
        <rFont val="Arial"/>
        <family val="2"/>
      </rPr>
      <t>*</t>
    </r>
  </si>
  <si>
    <t>Derby City Pupils Top up funding Pre &amp; Post 16*</t>
  </si>
  <si>
    <t>Please select your school in the cell below</t>
  </si>
  <si>
    <t>High Needs Funding from Derby City LA / EFA*</t>
  </si>
  <si>
    <t>Derby City Pupils Top up funding Pre 16*</t>
  </si>
  <si>
    <t>Derby City Pupils Top up funding Post 16*</t>
  </si>
  <si>
    <t>No.of Pupils</t>
  </si>
  <si>
    <t>*Please note Early Years budgets are adjusted for actual hour take up in year</t>
  </si>
  <si>
    <t>Early Years, Schools and High Needs Block Formula Budgets 2015/16</t>
  </si>
  <si>
    <t>May 2015 Term Hours</t>
  </si>
  <si>
    <t>Oct 2015 Term Hours</t>
  </si>
  <si>
    <t>Jan 2016 Term Hours</t>
  </si>
  <si>
    <t>Early Years Nursery Funding 2015/16</t>
  </si>
  <si>
    <t>May 2015 Term Unit Hours</t>
  </si>
  <si>
    <t>Oct 2015 Term Unit Hours</t>
  </si>
  <si>
    <t>Jan 2016 Term Unit Hours</t>
  </si>
  <si>
    <t>High Needs Formula Budget 2015/16</t>
  </si>
  <si>
    <t>Schools Block Funding 2015/16</t>
  </si>
  <si>
    <t>RATES 2015-16</t>
  </si>
  <si>
    <t xml:space="preserve">Indicative Sixth Form </t>
  </si>
  <si>
    <t>Total Delegated SEN funding within the School Budget</t>
  </si>
  <si>
    <t>Secondary KS3 amount per pupil</t>
  </si>
  <si>
    <t>Secondary KS4 amount per pupil</t>
  </si>
  <si>
    <t>Rates 14-15 Adj</t>
  </si>
  <si>
    <t>Rates 15-16</t>
  </si>
  <si>
    <t>Delegated SEN %</t>
  </si>
  <si>
    <t>Delegated SEN funding within School Budget £</t>
  </si>
  <si>
    <t>% of NOR</t>
  </si>
  <si>
    <t>Mobility is calculated after deducting 10% threshold level</t>
  </si>
  <si>
    <t>Primary Rate</t>
  </si>
  <si>
    <t>Secondary Rate</t>
  </si>
  <si>
    <t>Contingencies (SIFD &amp; Contingencies)</t>
  </si>
  <si>
    <t>FSM</t>
  </si>
  <si>
    <t>Insurance</t>
  </si>
  <si>
    <t>Licences/Subscriptions</t>
  </si>
  <si>
    <t>Staff Costs Supply</t>
  </si>
  <si>
    <t>Behaviour Support</t>
  </si>
  <si>
    <t>Museums</t>
  </si>
  <si>
    <t>Support UAG and Bilingual</t>
  </si>
  <si>
    <t>Primary net NOR</t>
  </si>
  <si>
    <t>Secondary Net NOR</t>
  </si>
  <si>
    <t>De-delegation from Maintained Schools 2015-16</t>
  </si>
  <si>
    <t>LA Services De-delegated from maintained schools</t>
  </si>
  <si>
    <t>LA Services to be Invoiced to non maintained schools</t>
  </si>
  <si>
    <t>ALL Through</t>
  </si>
  <si>
    <t>Rates 2015-16 £</t>
  </si>
  <si>
    <t>Rates 2014-15 adj £</t>
  </si>
  <si>
    <t xml:space="preserve">TA Hours </t>
  </si>
  <si>
    <t>Special School Estimates 2015-2016</t>
  </si>
  <si>
    <t>Other LA</t>
  </si>
  <si>
    <t>Band 5 Plus</t>
  </si>
  <si>
    <t>Band 5 plus</t>
  </si>
  <si>
    <t>KS 1/2 PRU</t>
  </si>
  <si>
    <t>KS 3/4 PRU</t>
  </si>
  <si>
    <t>Hours</t>
  </si>
  <si>
    <t>Maintained</t>
  </si>
  <si>
    <t>E200101</t>
  </si>
  <si>
    <t>E200501</t>
  </si>
  <si>
    <t>E201501</t>
  </si>
  <si>
    <t>E201701</t>
  </si>
  <si>
    <t>E202401</t>
  </si>
  <si>
    <t>SP</t>
  </si>
  <si>
    <t>E202501</t>
  </si>
  <si>
    <t>E202801</t>
  </si>
  <si>
    <t>E203101</t>
  </si>
  <si>
    <t>n/a</t>
  </si>
  <si>
    <t>E203701</t>
  </si>
  <si>
    <t>E203801</t>
  </si>
  <si>
    <t>LB</t>
  </si>
  <si>
    <t>E204001</t>
  </si>
  <si>
    <t>Oakwood Infant School</t>
  </si>
  <si>
    <t>E204801</t>
  </si>
  <si>
    <t>E205301</t>
  </si>
  <si>
    <t>E205501</t>
  </si>
  <si>
    <t>E205901</t>
  </si>
  <si>
    <t>E206401</t>
  </si>
  <si>
    <t>E206601</t>
  </si>
  <si>
    <t>E207101</t>
  </si>
  <si>
    <t>E207301</t>
  </si>
  <si>
    <t>St Joseph's Catholic Primary School</t>
  </si>
  <si>
    <t>St Mary's Catholic Primary School</t>
  </si>
  <si>
    <t>E207501</t>
  </si>
  <si>
    <t>E207901</t>
  </si>
  <si>
    <t>E300101</t>
  </si>
  <si>
    <t>Bemrose School</t>
  </si>
  <si>
    <t>E300301</t>
  </si>
  <si>
    <t>LD</t>
  </si>
  <si>
    <t>E300401</t>
  </si>
  <si>
    <t>E300601</t>
  </si>
  <si>
    <t>E300801</t>
  </si>
  <si>
    <t>Murray Park Community School</t>
  </si>
  <si>
    <t>E300901</t>
  </si>
  <si>
    <t>Harrington Nursery School</t>
  </si>
  <si>
    <t>Lord Street Nursery</t>
  </si>
  <si>
    <t>PVI</t>
  </si>
  <si>
    <t>Quality</t>
  </si>
  <si>
    <t>ERS Provision</t>
  </si>
  <si>
    <t>2015/2016 Budget</t>
  </si>
  <si>
    <t>PRE-16 PLACES</t>
  </si>
  <si>
    <t>DfE</t>
  </si>
  <si>
    <t>Band 5 +</t>
  </si>
  <si>
    <t>Bemrose Community School KS3</t>
  </si>
  <si>
    <t>Lees Brook Community KS3</t>
  </si>
  <si>
    <t>Lees Brook Community KS4</t>
  </si>
  <si>
    <t>Saint Benedict Catholic School KS4</t>
  </si>
  <si>
    <t>Woodlands Community School KS4</t>
  </si>
  <si>
    <t>POST-16 PLACES</t>
  </si>
  <si>
    <t>Lees Brook</t>
  </si>
  <si>
    <t>Saint Benedict</t>
  </si>
  <si>
    <t>Grand Totals</t>
  </si>
  <si>
    <t>Early Years Single Formula 2015-16</t>
  </si>
  <si>
    <t>Maintained Nurseries Only</t>
  </si>
  <si>
    <t>Original Formula Template</t>
  </si>
  <si>
    <t>PUPIL LED BASE AMOUNT</t>
  </si>
  <si>
    <t>DEPRIVATION FUNDING</t>
  </si>
  <si>
    <t>VULNERABLE CHILDREN FUNDING</t>
  </si>
  <si>
    <t>CATERING</t>
  </si>
  <si>
    <t>STANDALONE BASE</t>
  </si>
  <si>
    <t>FORMULA BUDGET</t>
  </si>
  <si>
    <t>updated 8.12.14</t>
  </si>
  <si>
    <t>Schools with Nursery Classes</t>
  </si>
  <si>
    <t>Cost Centre</t>
  </si>
  <si>
    <t>DCSF No</t>
  </si>
  <si>
    <t>Max No of Places</t>
  </si>
  <si>
    <t>Max No of Hours</t>
  </si>
  <si>
    <t>Actual Summer</t>
  </si>
  <si>
    <t>Actual Autumn</t>
  </si>
  <si>
    <t>Est Spring</t>
  </si>
  <si>
    <t>Reported Hours</t>
  </si>
  <si>
    <t>Hour Check</t>
  </si>
  <si>
    <t>FORMULA HOURS</t>
  </si>
  <si>
    <t>Type Hrly Rate</t>
  </si>
  <si>
    <t>Hrly Rate Funding</t>
  </si>
  <si>
    <t>Summer</t>
  </si>
  <si>
    <t>Autumn</t>
  </si>
  <si>
    <t>Spring</t>
  </si>
  <si>
    <t>Unit Cost</t>
  </si>
  <si>
    <t>Total Deprivation Funding</t>
  </si>
  <si>
    <t>Total Vulnerable Children Funding</t>
  </si>
  <si>
    <t>Total ERS Funding</t>
  </si>
  <si>
    <t>Total Catering Funding</t>
  </si>
  <si>
    <t>Total TA Funding</t>
  </si>
  <si>
    <t>Number per Setting</t>
  </si>
  <si>
    <t>Amount</t>
  </si>
  <si>
    <t>Total Base Funding</t>
  </si>
  <si>
    <t>Total EAL Funding</t>
  </si>
  <si>
    <t>Total Single Formula Budget</t>
  </si>
  <si>
    <t>Indicative Budget 2015-16</t>
  </si>
  <si>
    <t>PAN</t>
  </si>
  <si>
    <t>Bemrose</t>
  </si>
  <si>
    <t>Bishop Lonsdale Church of England (Aided) Primary School 3525 then 2011 dfe</t>
  </si>
  <si>
    <t>E201301</t>
  </si>
  <si>
    <t>Grampian Primary School /Academy</t>
  </si>
  <si>
    <t>E203201</t>
  </si>
  <si>
    <t>Homefields Primary</t>
  </si>
  <si>
    <t>Maintained Subtotal</t>
  </si>
  <si>
    <t>PVI Nurseries</t>
  </si>
  <si>
    <t>Post Code</t>
  </si>
  <si>
    <t>OFSTED ID</t>
  </si>
  <si>
    <t>No of Pupils' Hours</t>
  </si>
  <si>
    <t>Total Graduate Leader Funding</t>
  </si>
  <si>
    <t>Number of Pupils' Hours</t>
  </si>
  <si>
    <t>Formula Budget before MFG and CAP</t>
  </si>
  <si>
    <t>Austin Community Enterprise Ltd (ACE) Nursery 2</t>
  </si>
  <si>
    <t>new Summer 14</t>
  </si>
  <si>
    <t>EY466545</t>
  </si>
  <si>
    <t>EY467609</t>
  </si>
  <si>
    <t>EY470666</t>
  </si>
  <si>
    <t>Creative Steps Pre-School</t>
  </si>
  <si>
    <t>EY477987</t>
  </si>
  <si>
    <t>Derby City Childminding Network - Aiden James Allen</t>
  </si>
  <si>
    <t>EY432228</t>
  </si>
  <si>
    <t>Derby City Childminding Network - Alison Whiteman</t>
  </si>
  <si>
    <t>Derby City Childminding Network - Amanda Reeves</t>
  </si>
  <si>
    <t>Derby City Childminding Network - Angela Kirkley</t>
  </si>
  <si>
    <t>DE3 9LN</t>
  </si>
  <si>
    <t>AK</t>
  </si>
  <si>
    <t>Derby City Childminding Network - Angela Jane Hatton</t>
  </si>
  <si>
    <t>Derby City Childminding Network - Barbara Gill Wells</t>
  </si>
  <si>
    <t>DE21 2QJ</t>
  </si>
  <si>
    <t>Derby City Childminding Network - Caroline Tomlinson</t>
  </si>
  <si>
    <t>EY463636</t>
  </si>
  <si>
    <t>p</t>
  </si>
  <si>
    <t xml:space="preserve">Derby City Childminding Network - Celia Murfin </t>
  </si>
  <si>
    <t>EY421552</t>
  </si>
  <si>
    <t>Derby City Childminding Network - Cheryll Lesley Haywood-Phillips</t>
  </si>
  <si>
    <t>Derby City Childminding Network - Claire-Ellen Oakley</t>
  </si>
  <si>
    <t>EY412756</t>
  </si>
  <si>
    <t>Derby City Childminding Network - Debra Kydd</t>
  </si>
  <si>
    <t>Derby City Childminding Network - Donna Gladwin</t>
  </si>
  <si>
    <t>Derby City Childminding Network - Emma Louise Strange</t>
  </si>
  <si>
    <t>ELS</t>
  </si>
  <si>
    <t>Derby City Childminding Network - Gillian Ruth Haywood</t>
  </si>
  <si>
    <t>EY303699</t>
  </si>
  <si>
    <t>Derby City Childminding Network - Helen Marie Samuels</t>
  </si>
  <si>
    <t>Derby City Childminding Network - Hilary Gail Smyth</t>
  </si>
  <si>
    <t>EY407775</t>
  </si>
  <si>
    <t>Derby City Childminding Network - Jacqueline Anne Berry</t>
  </si>
  <si>
    <t>EY370868</t>
  </si>
  <si>
    <t>Derby City Childminding Network - Jennifer Apaya</t>
  </si>
  <si>
    <t>Derby City Childminding Network - Jennifer Kelly</t>
  </si>
  <si>
    <t>EY477127</t>
  </si>
  <si>
    <t>Derby City Childminding Network - Judith Deakin</t>
  </si>
  <si>
    <t>Derby City Childminding Network - Julie Christine Heathcote</t>
  </si>
  <si>
    <t>Derby City Childminding Network - Joanne Margaret Shakespeare</t>
  </si>
  <si>
    <t>Derby City Childminding Network - Joanne Nolan</t>
  </si>
  <si>
    <t>JN</t>
  </si>
  <si>
    <t>Derby City Childminding Network - KA</t>
  </si>
  <si>
    <t>EY334731</t>
  </si>
  <si>
    <t>Derby City Childminding Network - Kay Walker</t>
  </si>
  <si>
    <t>Derby City Childminding Network - Kerry Jehane Derbyshire</t>
  </si>
  <si>
    <t>EY405755</t>
  </si>
  <si>
    <t>Derby City Childminding Network - Leandre Blount</t>
  </si>
  <si>
    <t>Lblount</t>
  </si>
  <si>
    <t>Derby City Childminding Network - Lloyd Kay Dawn</t>
  </si>
  <si>
    <t>Derby City Childminding Network - Lorraine Duthie</t>
  </si>
  <si>
    <t>Derby City Childminding Network - Lousie Michelle Griffiths</t>
  </si>
  <si>
    <t>Derby City Childminding Network - Lynnette Learmonth</t>
  </si>
  <si>
    <t>EY463605</t>
  </si>
  <si>
    <t>Derby City Childminding Network - Michelle Elizabeth Hemmings</t>
  </si>
  <si>
    <t>Derby City Childminding Network - Michelle Morrison</t>
  </si>
  <si>
    <t>EY357686</t>
  </si>
  <si>
    <t>Derby City Childminding Network - Natalie Tia Bowles</t>
  </si>
  <si>
    <t>NTB</t>
  </si>
  <si>
    <t>Derby City Childminding Network - Nicola Caroline Johnson</t>
  </si>
  <si>
    <t>EY396733</t>
  </si>
  <si>
    <t>Derby City Childminding Network - Paul Steven Massey</t>
  </si>
  <si>
    <t>EY405054</t>
  </si>
  <si>
    <t>Derby City Childminding Network - Peter Wells</t>
  </si>
  <si>
    <t>Derby City Childminding Network - Phillipa Chambers</t>
  </si>
  <si>
    <t>EY453657</t>
  </si>
  <si>
    <t>Derby City Childminding Network - Rachel Wiggins</t>
  </si>
  <si>
    <t>Derby City Childminding Network - Rebecca Anne Cotton</t>
  </si>
  <si>
    <t>EY393682</t>
  </si>
  <si>
    <t>Derby City Childminding Network - Rebecca Jane Fulleylove</t>
  </si>
  <si>
    <t>EY395288</t>
  </si>
  <si>
    <t>Derby City Childminding Network - Rebecca Sarah Wall</t>
  </si>
  <si>
    <t>Derby City Childminding Network - Rosalyn Phillips</t>
  </si>
  <si>
    <t>Derby City Childminding Network - Rosie Stevens</t>
  </si>
  <si>
    <t>Derby City Childminding Network - Samantha Anne Fisher</t>
  </si>
  <si>
    <t>EY406938</t>
  </si>
  <si>
    <t>Derby City Childminding Network - Sandra White</t>
  </si>
  <si>
    <t>Derby City Childminding Network - Sara Mycroft</t>
  </si>
  <si>
    <t>Derby City Childminding Network - Sarah Helen Cooper</t>
  </si>
  <si>
    <t>SHC</t>
  </si>
  <si>
    <t>Derby City Childminding Network - Sharron Julie Taylor</t>
  </si>
  <si>
    <t>Derby City Childminding Network - Susie Catherine Vere</t>
  </si>
  <si>
    <t>Derby City Childminding Network - Suzette Louise Bryden</t>
  </si>
  <si>
    <t>Derby City Childminding Network - Susan Theresa McPhee</t>
  </si>
  <si>
    <t>STM</t>
  </si>
  <si>
    <t>Derby City Childminding Network - Tamasine Louise Ashforth</t>
  </si>
  <si>
    <t>Derby City Childminding Network - Urszula Ksiazek</t>
  </si>
  <si>
    <t>Derby City Childminding Network - Wendy Jane Wheawall</t>
  </si>
  <si>
    <t>Derby City Childminding Network - Wendy Lorraine Anne Wright</t>
  </si>
  <si>
    <t>EY464682</t>
  </si>
  <si>
    <t>Derby City Childminding Network - Zahida Parveen</t>
  </si>
  <si>
    <t>EY380277</t>
  </si>
  <si>
    <t>Derby City Childminding Network - Zena Brotherson</t>
  </si>
  <si>
    <t>Derby Montessori</t>
  </si>
  <si>
    <t>EY476012</t>
  </si>
  <si>
    <t>Derwent Stepping Stones At Brackensdale</t>
  </si>
  <si>
    <t>EY460372</t>
  </si>
  <si>
    <t>First Friends Pre School CIC</t>
  </si>
  <si>
    <t>EY475427</t>
  </si>
  <si>
    <t>Fun Time Nursery Limited</t>
  </si>
  <si>
    <t>EY478943</t>
  </si>
  <si>
    <t>ended</t>
  </si>
  <si>
    <t>Incredible Kids</t>
  </si>
  <si>
    <t>EY477956</t>
  </si>
  <si>
    <t>amended 4/2/14 - removed Dep funding</t>
  </si>
  <si>
    <t>Little Stars</t>
  </si>
  <si>
    <t>Lord St Nursery Pre School</t>
  </si>
  <si>
    <t>EY441899</t>
  </si>
  <si>
    <t>Playcorner Nursery</t>
  </si>
  <si>
    <t>EY474393</t>
  </si>
  <si>
    <t>Pride at Arboretum</t>
  </si>
  <si>
    <t>EY461565</t>
  </si>
  <si>
    <t>Pride at Sunnyhill</t>
  </si>
  <si>
    <t>EY461568</t>
  </si>
  <si>
    <t>ended?</t>
  </si>
  <si>
    <t>EY472250</t>
  </si>
  <si>
    <t>Scallywags Nursery</t>
  </si>
  <si>
    <t>EY481412</t>
  </si>
  <si>
    <t>Schools Out</t>
  </si>
  <si>
    <t>EY466991</t>
  </si>
  <si>
    <t>The Cottage Private Day Nursery Uttoxeter Road</t>
  </si>
  <si>
    <t>DE3 9AX</t>
  </si>
  <si>
    <t>TCPDNU</t>
  </si>
  <si>
    <t>amended as ended provision</t>
  </si>
  <si>
    <t>WPDN</t>
  </si>
  <si>
    <t>Unallocated</t>
  </si>
  <si>
    <t>PVI Subtotal</t>
  </si>
  <si>
    <t>Summary PVI</t>
  </si>
  <si>
    <t>Dep</t>
  </si>
  <si>
    <t>Vuln</t>
  </si>
  <si>
    <r>
      <t xml:space="preserve">TOTAL FUNDING FOR EARLY YEARS SINGLE FUNDING FORMULA </t>
    </r>
    <r>
      <rPr>
        <sz val="12"/>
        <rFont val="Arial"/>
        <family val="2"/>
      </rPr>
      <t xml:space="preserve">excluding Rates* </t>
    </r>
  </si>
  <si>
    <t>Amount per Primary Pupil</t>
  </si>
  <si>
    <t>£1.7M</t>
  </si>
  <si>
    <t>Final Data Oct 2014</t>
  </si>
  <si>
    <t>original</t>
  </si>
  <si>
    <t>change</t>
  </si>
  <si>
    <t>KS3</t>
  </si>
  <si>
    <t>KS4</t>
  </si>
  <si>
    <t>2014-15</t>
  </si>
  <si>
    <t>Change</t>
  </si>
  <si>
    <t>2014-15 Primary Net NOR</t>
  </si>
  <si>
    <t>2014-15 KS3 Net NOR</t>
  </si>
  <si>
    <t>2014-15 KS4 Net NOR</t>
  </si>
  <si>
    <t>Primary NOR change</t>
  </si>
  <si>
    <t>KS3 NOR change</t>
  </si>
  <si>
    <t>KS4 NOR change</t>
  </si>
  <si>
    <t>before £1.7M AWPU added</t>
  </si>
  <si>
    <t>Al-Madinah</t>
  </si>
  <si>
    <t>New</t>
  </si>
  <si>
    <t>Total All Through School</t>
  </si>
  <si>
    <t>Total All Through</t>
  </si>
  <si>
    <t>Balances to APT when adjust for Al Madinah Secondary</t>
  </si>
  <si>
    <t>Final Data excl Bemrose adj</t>
  </si>
  <si>
    <t>APT Variance</t>
  </si>
  <si>
    <t>2014-15 AWPU</t>
  </si>
  <si>
    <t>Academies</t>
  </si>
  <si>
    <t>Landau &amp; Al Madinah</t>
  </si>
  <si>
    <t>AWPU</t>
  </si>
  <si>
    <t>Net change</t>
  </si>
  <si>
    <t>%</t>
  </si>
  <si>
    <t>School Budget</t>
  </si>
  <si>
    <t>Early Years Budget</t>
  </si>
  <si>
    <t>Schools TA</t>
  </si>
  <si>
    <t>School ERS Derby LA</t>
  </si>
  <si>
    <t>Nursery excl Rates</t>
  </si>
  <si>
    <t>ALL Rates</t>
  </si>
  <si>
    <t>2015-16 Stand Alone Rates</t>
  </si>
  <si>
    <t>2014-15 Rates Adjustment</t>
  </si>
  <si>
    <t>Nursery Print</t>
  </si>
  <si>
    <t>Variance</t>
  </si>
  <si>
    <t>Automatic</t>
  </si>
  <si>
    <t>IMS Data after EFA cleansing</t>
  </si>
  <si>
    <t>national curriculum year group</t>
  </si>
  <si>
    <t>total
R-yr6</t>
  </si>
  <si>
    <t>total
KS3</t>
  </si>
  <si>
    <t>total
KS4</t>
  </si>
  <si>
    <t>total
pre 16</t>
  </si>
  <si>
    <t>total
post 16</t>
  </si>
  <si>
    <t>total
all pupils</t>
  </si>
  <si>
    <t>phase</t>
  </si>
  <si>
    <t>CC</t>
  </si>
  <si>
    <t>school</t>
  </si>
  <si>
    <t>R</t>
  </si>
  <si>
    <t>EFA adjusted R</t>
  </si>
  <si>
    <t>EFA Adjustment Yr 1-2</t>
  </si>
  <si>
    <t>EFA Adjustment Yr 3-6</t>
  </si>
  <si>
    <t>EFA Adjustment KS3</t>
  </si>
  <si>
    <t>EFA Adjustment KS4</t>
  </si>
  <si>
    <t>Yr 1-2</t>
  </si>
  <si>
    <t>Yr 3-6</t>
  </si>
  <si>
    <t>Post 16</t>
  </si>
  <si>
    <t>ALL Pre 16</t>
  </si>
  <si>
    <t>Al-Madinah School</t>
  </si>
  <si>
    <t>E200301</t>
  </si>
  <si>
    <t>N</t>
  </si>
  <si>
    <t>E200601</t>
  </si>
  <si>
    <t>Central Community Nursery</t>
  </si>
  <si>
    <t>da Vinci Community School</t>
  </si>
  <si>
    <t>AP</t>
  </si>
  <si>
    <t>Derby Pride Academy</t>
  </si>
  <si>
    <t>Kingsmead School</t>
  </si>
  <si>
    <t>Landau Forte Moorhead Academy</t>
  </si>
  <si>
    <t>Lees Brook Community School</t>
  </si>
  <si>
    <t>Lord Street Community Nursery</t>
  </si>
  <si>
    <t>Merrill Academy</t>
  </si>
  <si>
    <t xml:space="preserve">Newton's Walk </t>
  </si>
  <si>
    <t>Noel-Baker School</t>
  </si>
  <si>
    <t>E205001</t>
  </si>
  <si>
    <t>E205101</t>
  </si>
  <si>
    <t>E205201</t>
  </si>
  <si>
    <t>Ravensdale Infant School</t>
  </si>
  <si>
    <t>Saint Benedict A Catholic Voluntary Academy</t>
  </si>
  <si>
    <t>E206301</t>
  </si>
  <si>
    <t>E206901</t>
  </si>
  <si>
    <t>St James' Church of England (Aided) Junior School</t>
  </si>
  <si>
    <t>E207201</t>
  </si>
  <si>
    <t>St Martins School</t>
  </si>
  <si>
    <t>St Peter's Church of England (Aided) Junior School</t>
  </si>
  <si>
    <t>E207601</t>
  </si>
  <si>
    <t>St Werburgh's Church of England (Aided) Primary School</t>
  </si>
  <si>
    <t>Kingsmead PRU</t>
  </si>
  <si>
    <t>Whitecross Nursery School</t>
  </si>
  <si>
    <t>total</t>
  </si>
  <si>
    <t>Includes "current" and "main" registered pupils only</t>
  </si>
  <si>
    <t>no. of</t>
  </si>
  <si>
    <t>EFA Adjustment Yr 2-5</t>
  </si>
  <si>
    <t>Yr 1</t>
  </si>
  <si>
    <t>Yr 2-5</t>
  </si>
  <si>
    <t>All through</t>
  </si>
  <si>
    <t>Special</t>
  </si>
  <si>
    <t>PRU</t>
  </si>
  <si>
    <t>Less Nursery Reception</t>
  </si>
  <si>
    <t>Les Special</t>
  </si>
  <si>
    <t>Less PRU</t>
  </si>
  <si>
    <t>Schools Block</t>
  </si>
  <si>
    <t>All data columns updated for final EFA Data Dec 2013</t>
  </si>
  <si>
    <t>Primary excl HN</t>
  </si>
  <si>
    <t>Secondary exc HN</t>
  </si>
  <si>
    <t>Ever6_Pri</t>
  </si>
  <si>
    <t>Ever6_sec</t>
  </si>
  <si>
    <t>Primary FSM Ever 6</t>
  </si>
  <si>
    <t>Secondary FSM Ever 6</t>
  </si>
  <si>
    <t>Primary IDACI Band 1 0.2 - 0.25</t>
  </si>
  <si>
    <t>Secondary IDACI Band 1 0.2 - 0.25</t>
  </si>
  <si>
    <t>Primary IDACI Band 2 0.25 - 0.3</t>
  </si>
  <si>
    <t>Secondary IDACI Band 2 0.25 - 0.3</t>
  </si>
  <si>
    <t>Primary IDACI Band 3 0.3 - 0.4</t>
  </si>
  <si>
    <t>Secondary IDACI Band 3 0.3 - 0.4</t>
  </si>
  <si>
    <t>Primary IDACI Band 4 0.4 - 0.5</t>
  </si>
  <si>
    <t>Secondary IDACI Band 4 0.4 - 0.5</t>
  </si>
  <si>
    <t>Primary IDACI Band 5 0.5 - 0.6</t>
  </si>
  <si>
    <t>Secondary IDACI Band 5 0.5 - 0.6</t>
  </si>
  <si>
    <t>Primary IDACI Band 6 0.6 -1.0</t>
  </si>
  <si>
    <t>Secondary IDACI Band 6 0.6 -1.0</t>
  </si>
  <si>
    <t>Primary EAL 3</t>
  </si>
  <si>
    <t>Secondary EAL 3</t>
  </si>
  <si>
    <t>Primary Mobility</t>
  </si>
  <si>
    <t>Secondary Mobility</t>
  </si>
  <si>
    <t>Primary Threshold Calc</t>
  </si>
  <si>
    <t>Secondary Threshold Calc</t>
  </si>
  <si>
    <t>LAC any</t>
  </si>
  <si>
    <t>LAC 6</t>
  </si>
  <si>
    <t>Secondary Low Prior Attainment</t>
  </si>
  <si>
    <t>Breadsall Hill Top Junior School</t>
  </si>
  <si>
    <t>Grampian Primary School</t>
  </si>
  <si>
    <t>Moorhead Primary Academy</t>
  </si>
  <si>
    <t>City of Derby / Sinfin Community School</t>
  </si>
  <si>
    <t>Sinfin Primary School</t>
  </si>
  <si>
    <t>Woodlands School</t>
  </si>
  <si>
    <t>Derby LA Schools &amp; Recoupment Academies</t>
  </si>
  <si>
    <t>Total including Non Rceoupment</t>
  </si>
  <si>
    <t>Previous version used before final data known</t>
  </si>
  <si>
    <t>Deprivation Factor</t>
  </si>
  <si>
    <t>Amount per primary pupil £</t>
  </si>
  <si>
    <t>Final data Oct 2014</t>
  </si>
  <si>
    <t xml:space="preserve">FSM Ever 6 </t>
  </si>
  <si>
    <t>Primary Deprivation based on FSM Ever 6 £</t>
  </si>
  <si>
    <t>Secondary Deprivation based on FSM Ever 6 £</t>
  </si>
  <si>
    <t>Primary Deprivation based on IDACI £</t>
  </si>
  <si>
    <t>Secondary Deprivation based on IDACI £</t>
  </si>
  <si>
    <t>2) Total Deprivation based on FSM Ever6 &amp; IDACI  £</t>
  </si>
  <si>
    <t>Sinfin Community School</t>
  </si>
  <si>
    <t>The Bemrose School Primary</t>
  </si>
  <si>
    <t>The Bemrose School Secondary</t>
  </si>
  <si>
    <t>Unts</t>
  </si>
  <si>
    <t>Prim</t>
  </si>
  <si>
    <t>Sec</t>
  </si>
  <si>
    <t>Idaci 1</t>
  </si>
  <si>
    <t>Idaci 2</t>
  </si>
  <si>
    <t>Idaci 3</t>
  </si>
  <si>
    <t>Idaci 4</t>
  </si>
  <si>
    <t>Idaci 5</t>
  </si>
  <si>
    <t>Idaci 6</t>
  </si>
  <si>
    <t>ok</t>
  </si>
  <si>
    <t>LAC numbers</t>
  </si>
  <si>
    <t>3) Looked After Children (LAC) £</t>
  </si>
  <si>
    <t>Units</t>
  </si>
  <si>
    <t>LCHI SEN - Number of Secondary pupils not achieving Level 4 in English or Maths</t>
  </si>
  <si>
    <t>4) Low cost, high incidence SEN £</t>
  </si>
  <si>
    <t>Balances to APT when Al Madinah secondary is adjusted</t>
  </si>
  <si>
    <t>Primary EAL 3 pupil numbers</t>
  </si>
  <si>
    <t>Secondary EAL 3 pupil numbers</t>
  </si>
  <si>
    <t>Primary English as an Additional Language £</t>
  </si>
  <si>
    <t>Secondary English as an Additional Language £</t>
  </si>
  <si>
    <t>5) English as an Additional Language £</t>
  </si>
  <si>
    <t>Balances to APT wihout Al Madinah &amp; Breadsall</t>
  </si>
  <si>
    <t>Primary Mobility £</t>
  </si>
  <si>
    <t>Secondary Mobility £</t>
  </si>
  <si>
    <t>6) Mobility £</t>
  </si>
  <si>
    <t>reduce to zero as none in Oct 2013</t>
  </si>
  <si>
    <t>reduce to zero next year as none in Oct 2013 or Oct 2014</t>
  </si>
  <si>
    <t>reduced to zero as none in Oct 2013, change is only due to change of school status</t>
  </si>
  <si>
    <t>reduced to zero as none in Oct 2013</t>
  </si>
  <si>
    <t>City of Derby (was Sinfin Community School)</t>
  </si>
  <si>
    <t>Reason for adjustments</t>
  </si>
  <si>
    <t>Became academy adjust %</t>
  </si>
  <si>
    <t>Grampian</t>
  </si>
  <si>
    <t>Merrill</t>
  </si>
  <si>
    <t>Merged school adjust %</t>
  </si>
  <si>
    <t>Breadsall Hilltop</t>
  </si>
  <si>
    <t>City of Derby</t>
  </si>
  <si>
    <t>Bishop</t>
  </si>
  <si>
    <t>APT</t>
  </si>
  <si>
    <t>Amount per primary school £</t>
  </si>
  <si>
    <t>Amount per secondary school £</t>
  </si>
  <si>
    <t>7) Lump Sum £</t>
  </si>
  <si>
    <t>Down as a secondary school in APT in error</t>
  </si>
  <si>
    <t>Correct</t>
  </si>
  <si>
    <t>8) Split Site £</t>
  </si>
  <si>
    <t>10) PFI Funding £</t>
  </si>
  <si>
    <t>based on 2014+4%</t>
  </si>
  <si>
    <t>Changes done in 2014 FY</t>
  </si>
  <si>
    <t>For APT</t>
  </si>
  <si>
    <t>9) Total Rates £</t>
  </si>
  <si>
    <t>rates 14-15 Adj</t>
  </si>
  <si>
    <t>2014-15 Adj</t>
  </si>
  <si>
    <t>2013-14 Adj</t>
  </si>
  <si>
    <t>2012-13 School</t>
  </si>
  <si>
    <t>2012-13 LA</t>
  </si>
  <si>
    <t>2011-12</t>
  </si>
  <si>
    <t>2010-11</t>
  </si>
  <si>
    <t>2015-16</t>
  </si>
  <si>
    <t>8311014</t>
  </si>
  <si>
    <t>8311017</t>
  </si>
  <si>
    <t>8311006</t>
  </si>
  <si>
    <t>8311008</t>
  </si>
  <si>
    <t>8311005</t>
  </si>
  <si>
    <t>8311010</t>
  </si>
  <si>
    <t>8311009</t>
  </si>
  <si>
    <t>8311015</t>
  </si>
  <si>
    <t>8312400</t>
  </si>
  <si>
    <t>8312443</t>
  </si>
  <si>
    <t>8312442</t>
  </si>
  <si>
    <t>8312629</t>
  </si>
  <si>
    <t>8312509</t>
  </si>
  <si>
    <t>8312005</t>
  </si>
  <si>
    <t>8312464</t>
  </si>
  <si>
    <t>8312004</t>
  </si>
  <si>
    <t>8312405</t>
  </si>
  <si>
    <t>8313525</t>
  </si>
  <si>
    <t>Non DCC Academy from 01/06/2014</t>
  </si>
  <si>
    <t>overfunded academy but adjust with EFA in year</t>
  </si>
  <si>
    <t>8315201</t>
  </si>
  <si>
    <t>8312007</t>
  </si>
  <si>
    <t>Non DCC Academy from 01/09/2012</t>
  </si>
  <si>
    <t>8312433</t>
  </si>
  <si>
    <t>8312432</t>
  </si>
  <si>
    <t>8312447</t>
  </si>
  <si>
    <t>8312512</t>
  </si>
  <si>
    <t>8312456</t>
  </si>
  <si>
    <t>8312449</t>
  </si>
  <si>
    <t>8312448</t>
  </si>
  <si>
    <t>8312467</t>
  </si>
  <si>
    <t>8312455</t>
  </si>
  <si>
    <t>8315203</t>
  </si>
  <si>
    <t>Bank Account school from at least 01/04/2009</t>
  </si>
  <si>
    <t>8312451</t>
  </si>
  <si>
    <t>8312409</t>
  </si>
  <si>
    <t>8313158</t>
  </si>
  <si>
    <t>8312619</t>
  </si>
  <si>
    <t>8312518</t>
  </si>
  <si>
    <t>8312457</t>
  </si>
  <si>
    <t>8312010</t>
  </si>
  <si>
    <t>Non DCC Academy from 01/12/2012</t>
  </si>
  <si>
    <t>8312002</t>
  </si>
  <si>
    <t>8313544</t>
  </si>
  <si>
    <t>8312006</t>
  </si>
  <si>
    <t>8312434</t>
  </si>
  <si>
    <t>8312522</t>
  </si>
  <si>
    <t>8312436</t>
  </si>
  <si>
    <t>8312452</t>
  </si>
  <si>
    <t>8312627</t>
  </si>
  <si>
    <t>8312009</t>
  </si>
  <si>
    <t>8312473</t>
  </si>
  <si>
    <t>8312471</t>
  </si>
  <si>
    <t>8312420</t>
  </si>
  <si>
    <t>8312003</t>
  </si>
  <si>
    <t>Walter Evans Church of England Aided Primary Schoo</t>
  </si>
  <si>
    <t>8312423</t>
  </si>
  <si>
    <t>8312424</t>
  </si>
  <si>
    <t>8312439</t>
  </si>
  <si>
    <t>8312440</t>
  </si>
  <si>
    <t>8312462</t>
  </si>
  <si>
    <t>St Alban's Catholic Primary School, Chaddesden, De</t>
  </si>
  <si>
    <t>8312463</t>
  </si>
  <si>
    <t>8312505</t>
  </si>
  <si>
    <t>8312000</t>
  </si>
  <si>
    <t>Ridgeway Infant School orange = school, Blue = LA</t>
  </si>
  <si>
    <t>8312458</t>
  </si>
  <si>
    <t>Bank Account school from 01/04/2013</t>
  </si>
  <si>
    <t>Funded £8,974.24 in 14-15</t>
  </si>
  <si>
    <t>8312001</t>
  </si>
  <si>
    <t>8312429</t>
  </si>
  <si>
    <t>8312444</t>
  </si>
  <si>
    <t>8315209</t>
  </si>
  <si>
    <t>8312469</t>
  </si>
  <si>
    <t>8312430</t>
  </si>
  <si>
    <t>8312466</t>
  </si>
  <si>
    <t>8313543</t>
  </si>
  <si>
    <t>8313531</t>
  </si>
  <si>
    <t>St John Fisher Primary Academy</t>
  </si>
  <si>
    <t>8313526</t>
  </si>
  <si>
    <t>8313535</t>
  </si>
  <si>
    <t>8312008</t>
  </si>
  <si>
    <t>St Georgeâs Catholic Voluntary Academy</t>
  </si>
  <si>
    <t>8313542</t>
  </si>
  <si>
    <t>8313528</t>
  </si>
  <si>
    <t>8313534</t>
  </si>
  <si>
    <t>8313532</t>
  </si>
  <si>
    <t>Saint Bendict CVA</t>
  </si>
  <si>
    <t>8313546</t>
  </si>
  <si>
    <t>Bank Account school from 01/04/2012</t>
  </si>
  <si>
    <t>Overfunded school (plus overfunded £62,372.18 in 2014-15 clerical error not shown here)</t>
  </si>
  <si>
    <t>8313530</t>
  </si>
  <si>
    <t>8312459</t>
  </si>
  <si>
    <t>KS1-2 PRU Newton's Walk</t>
  </si>
  <si>
    <t>8314000</t>
  </si>
  <si>
    <t>awaiting reply from the school estimated based on 420 NOR for full primary and 80% Rates Relief</t>
  </si>
  <si>
    <t>Breadsall Hilltop Primary School</t>
  </si>
  <si>
    <t>Bishop Lonsdale Church of England Aided Primary Sc</t>
  </si>
  <si>
    <t>8315402</t>
  </si>
  <si>
    <t>Non DCC Academy from 01/12/2010 &amp; Prior to that Bank Account School from at least 01/04/2009</t>
  </si>
  <si>
    <t>8314608</t>
  </si>
  <si>
    <t>8314178</t>
  </si>
  <si>
    <t>Bank Account school from 01/04/2010</t>
  </si>
  <si>
    <t>8311105</t>
  </si>
  <si>
    <t>Non DCC Free AP Academy</t>
  </si>
  <si>
    <t>KS3-4 PRU Kingsmead</t>
  </si>
  <si>
    <t>8316905</t>
  </si>
  <si>
    <t>Non DCC NR Academy</t>
  </si>
  <si>
    <t>8314181</t>
  </si>
  <si>
    <t>Non DCC Academy from 01/09/2011</t>
  </si>
  <si>
    <t>8314182</t>
  </si>
  <si>
    <t>8314001</t>
  </si>
  <si>
    <t>Non DCC Academy from 01/01/2013 &amp; Prior to that Bank Account School from at least 01/04/2009</t>
  </si>
  <si>
    <t>8315406</t>
  </si>
  <si>
    <t>Bank Account School from at least 01/04/2009</t>
  </si>
  <si>
    <t>8315407</t>
  </si>
  <si>
    <t>8314607</t>
  </si>
  <si>
    <t xml:space="preserve">Non DCC Academy from 01/09/2012 </t>
  </si>
  <si>
    <t>The City of Derby Academy (was Sinfin Community School)</t>
  </si>
  <si>
    <t>8314002</t>
  </si>
  <si>
    <t>Non DCC Academy from 01/06/2013</t>
  </si>
  <si>
    <t>n/a as DCC responsibility</t>
  </si>
  <si>
    <t>8315412</t>
  </si>
  <si>
    <t>Non DCC Academy from 01/04/2011 &amp; Prior to that Bank Account School from at least 01/04/2009</t>
  </si>
  <si>
    <t>8315414</t>
  </si>
  <si>
    <t>Non Academy DCC from 01/03/2012 and Bank Account School from at least 01/04/2009</t>
  </si>
  <si>
    <t>8314177</t>
  </si>
  <si>
    <t>Schools Block excludes Nurseries &amp; PRU</t>
  </si>
  <si>
    <t>133. Some formula factors (for example, rates and PFI) may be based on actual cost and these costs can change after budgets have been determined. Authorities are no longer allowed to change delegated budgets in-year, and so in these situations, the adjustments relating to that year should be made retrospectively to the following year’s budget. Authorities would need to notify the EFA of any changes relating to academies (other than for rates) so that they can apply similar adjustments if necessary. For rates, authorities can if they wish announce that rates will be funded on actuals and handle payments for maintained schools centrally where they have done so previously; the effect of the adjustment would then be carried forward to the following year’s DSG. Recoupment for rates will continue to be based on the amounts for which academies have actually been invoiced.</t>
  </si>
  <si>
    <t>2014/15 NOR</t>
  </si>
  <si>
    <t>2014/15 Funding</t>
  </si>
  <si>
    <t>Less 2014-15 Rates</t>
  </si>
  <si>
    <t>Less 2015/16 Lump Sum + 2014-15 amalgamating lump sum</t>
  </si>
  <si>
    <t>Less Other Exclusions</t>
  </si>
  <si>
    <t>Net Funding for 2014/15</t>
  </si>
  <si>
    <t>2014-15 MFG Baseline per Pupil agrees to APT</t>
  </si>
  <si>
    <t>MFG Protected Level</t>
  </si>
  <si>
    <t>2015/16 NOR</t>
  </si>
  <si>
    <t>2015/16 Funding Exc MFG</t>
  </si>
  <si>
    <t>Less 2015-16 Rates</t>
  </si>
  <si>
    <t xml:space="preserve">Less 2015/16 Lump Sum inc amalgamating </t>
  </si>
  <si>
    <t>Net 2015/16 Funding</t>
  </si>
  <si>
    <t>2015-16 Base Funding per Pupil agrees to APT</t>
  </si>
  <si>
    <t>MFG + No CAP</t>
  </si>
  <si>
    <t>Guaranteed Level of funding</t>
  </si>
  <si>
    <t>0% = Full Cap</t>
  </si>
  <si>
    <t>0.5% CAP</t>
  </si>
  <si>
    <t>1% CAP</t>
  </si>
  <si>
    <t>1.5% CAP</t>
  </si>
  <si>
    <t>2% CAP</t>
  </si>
  <si>
    <t>No CAP</t>
  </si>
  <si>
    <t>No cap = Gainers</t>
  </si>
  <si>
    <t>no mfg or cap</t>
  </si>
  <si>
    <t>secondary closed</t>
  </si>
  <si>
    <t>Changed primary numbers</t>
  </si>
  <si>
    <t>Above plus</t>
  </si>
  <si>
    <t>Breadsall</t>
  </si>
  <si>
    <t>Bemrose change after done above</t>
  </si>
  <si>
    <t>Updated for Oct 2014 NOR</t>
  </si>
  <si>
    <t>Updated for Allenton Academy Jan 2015</t>
  </si>
  <si>
    <t>De-delegated Budget</t>
  </si>
  <si>
    <t>New academy</t>
  </si>
  <si>
    <t>Free School</t>
  </si>
  <si>
    <t>Non Receoupment Academy</t>
  </si>
  <si>
    <t>Non Maintained</t>
  </si>
  <si>
    <t>Just maintained</t>
  </si>
  <si>
    <t>Final Schools Forum Feb 2015</t>
  </si>
  <si>
    <t>Updated</t>
  </si>
  <si>
    <t>De-Delegation Summary 2015-16</t>
  </si>
  <si>
    <t>decrease</t>
  </si>
  <si>
    <t>Increase</t>
  </si>
  <si>
    <t>Staff Costs Supply - Maternity £18.33 &amp; Trade Union £2.81</t>
  </si>
  <si>
    <t>Behaviour Support - QSP, KS1-2 PRU, Secondary Hard to Place &amp; Support for Inclusion</t>
  </si>
  <si>
    <t>Bemrose classed as Secondary</t>
  </si>
  <si>
    <t>Pending</t>
  </si>
  <si>
    <t>New Academy pooling</t>
  </si>
  <si>
    <t>Behaviour Support - Secondary Hard to Place &amp; Support for Inclusion</t>
  </si>
  <si>
    <t>Actual 2014-15</t>
  </si>
  <si>
    <t>De-Delegation Summary if same Rates per pupil  as 2014-15</t>
  </si>
  <si>
    <t>Amount £</t>
  </si>
  <si>
    <t>NOR Oct 13</t>
  </si>
  <si>
    <t>Support Inclusion</t>
  </si>
  <si>
    <t>bemrose is secondary for all pupils</t>
  </si>
  <si>
    <t>Proposed Schools Forum Feb 2015</t>
  </si>
  <si>
    <t>2014-15 Notional SEN</t>
  </si>
  <si>
    <t>2015-16 Notional SEN</t>
  </si>
  <si>
    <t>Primary NOR</t>
  </si>
  <si>
    <t>KS3 NOR</t>
  </si>
  <si>
    <t>KS4 NOR</t>
  </si>
  <si>
    <t>NSEN AWPU</t>
  </si>
  <si>
    <t>NSEN DEP</t>
  </si>
  <si>
    <t>LAC</t>
  </si>
  <si>
    <t>NSEN LAC</t>
  </si>
  <si>
    <t>LCHI SEN</t>
  </si>
  <si>
    <t>NSEN LCHI SEN</t>
  </si>
  <si>
    <t>NSEN EAL</t>
  </si>
  <si>
    <t>Mobility</t>
  </si>
  <si>
    <t>NSEN Mobility</t>
  </si>
  <si>
    <t>Total Notional SEN</t>
  </si>
  <si>
    <t>Per APT</t>
  </si>
  <si>
    <t>Primary Pupil</t>
  </si>
  <si>
    <t>2014-15 Level NSEN</t>
  </si>
  <si>
    <t>KS3 Pupil</t>
  </si>
  <si>
    <t>Al Madinah &amp; Landau Forte</t>
  </si>
  <si>
    <t>KS4 Pupil</t>
  </si>
  <si>
    <t>Pupil Numbers / Factor increase</t>
  </si>
  <si>
    <t>2015-16 Level NSEN</t>
  </si>
  <si>
    <t>Rates £</t>
  </si>
  <si>
    <t>No Cap</t>
  </si>
  <si>
    <t>De-delegation tbc</t>
  </si>
  <si>
    <t xml:space="preserve">TA &amp; OOC TA Hours </t>
  </si>
  <si>
    <t>Schools with Nurseries</t>
  </si>
  <si>
    <t>Lookup</t>
  </si>
  <si>
    <t>AWPU before £2.4M</t>
  </si>
  <si>
    <t>MFG before £2.4M</t>
  </si>
  <si>
    <t>Budget before De-delegation before £2.4M added</t>
  </si>
  <si>
    <t>New Academy - no delegation</t>
  </si>
  <si>
    <t>2012 new number</t>
  </si>
  <si>
    <t>2011 new number</t>
  </si>
  <si>
    <t>updated</t>
  </si>
  <si>
    <t>ALL School Block</t>
  </si>
  <si>
    <t>Excluding Landau &amp; Al Madinah</t>
  </si>
  <si>
    <t>Exlcuding Al Madinah</t>
  </si>
  <si>
    <t>For comparison Final APT 2014-15</t>
  </si>
  <si>
    <t>Less Amalgamated Lsum</t>
  </si>
  <si>
    <t>Bemrose Primary change</t>
  </si>
  <si>
    <t>Noel Baker PFI</t>
  </si>
  <si>
    <t>1.5% reduction MFG + CAP removal</t>
  </si>
  <si>
    <t>Add Landau</t>
  </si>
  <si>
    <t>Add Al-Madinah</t>
  </si>
  <si>
    <t>Before change</t>
  </si>
  <si>
    <t>Baseline</t>
  </si>
  <si>
    <t>APT recoupment</t>
  </si>
  <si>
    <t>link to tabs</t>
  </si>
  <si>
    <t>variance</t>
  </si>
  <si>
    <t>New APT</t>
  </si>
  <si>
    <t>Adjustments made:</t>
  </si>
  <si>
    <t>Bemrose Primary numbers</t>
  </si>
  <si>
    <t>Reason</t>
  </si>
  <si>
    <t>Adjustment to Mobility for schools changing status</t>
  </si>
  <si>
    <t>Rates, removal prior year arge adustments (as shouldn't be many)</t>
  </si>
  <si>
    <t>MFG &amp; CAP (per APT)</t>
  </si>
  <si>
    <t>Add Al Madinah</t>
  </si>
  <si>
    <t>£2.4M AWPU change</t>
  </si>
  <si>
    <t>PVI Nursery</t>
  </si>
  <si>
    <t>Stand Alone Nursery</t>
  </si>
  <si>
    <t>Nursery Funding</t>
  </si>
  <si>
    <t>Total ALL</t>
  </si>
  <si>
    <t>High Needs</t>
  </si>
  <si>
    <t>Academies &amp; other non maintained Schools - to be confirmed</t>
  </si>
  <si>
    <t>FSM E6</t>
  </si>
  <si>
    <t>IDACI 1</t>
  </si>
  <si>
    <t>IDACI 2</t>
  </si>
  <si>
    <t>IDACI 3</t>
  </si>
  <si>
    <t>IDACI 4</t>
  </si>
  <si>
    <t>IDACI 5</t>
  </si>
  <si>
    <t>IDACI 6</t>
  </si>
  <si>
    <t>Adj</t>
  </si>
  <si>
    <t>Schools Block Total excluding Rates</t>
  </si>
  <si>
    <t>School Budget INCLUDING Early Years, Schools Block and High Needs (excl other LA Top up), KS1 Class Factor, Contingency, &amp; INCLUDING RATES</t>
  </si>
  <si>
    <t>School Budget INCLUDING Early Years, Schools Block and High Needs (excl other LA Top up), KS1 Class Factor, Contingency, &amp; EXCLUDING RATES</t>
  </si>
  <si>
    <t>excl Rates</t>
  </si>
  <si>
    <t>School Budget INCLUDING Early Years, Schools Block and High Needs (excl other LA Top up), KS1 Class Factor, Contingency, &amp; EXCLUDING RATES &amp; Sixth Form</t>
  </si>
  <si>
    <t>School Budget INCLUDING Early Years, Schools Block and High Needs (excl other LA Top up), KS1 Class Factor, Contingency, &amp; INCLUDING RATES, &amp; excluding Sixth form</t>
  </si>
  <si>
    <t>Derby City Childminding Network - SCV</t>
  </si>
  <si>
    <t>Derby City Childminding Network - AK</t>
  </si>
  <si>
    <t>Derby City Childminding Network - BGW</t>
  </si>
  <si>
    <t>Derby City Childminding Network - CT</t>
  </si>
  <si>
    <t>Derby City Childminding Network - C-E O</t>
  </si>
  <si>
    <t>Derby City Childminding Network - DG</t>
  </si>
  <si>
    <t>Derby City Childminding Network - ELS</t>
  </si>
  <si>
    <t>Derby City Childminding Network - GRH</t>
  </si>
  <si>
    <t>Derby City Childminding Network - HMS</t>
  </si>
  <si>
    <t>Derby City Childminding Network - HGS</t>
  </si>
  <si>
    <t>Derby City Childminding Network - JAB</t>
  </si>
  <si>
    <t>Derby City Childminding Network - JK</t>
  </si>
  <si>
    <t>Derby City Childminding Network - JN</t>
  </si>
  <si>
    <t>Derby City Childminding Network - JD</t>
  </si>
  <si>
    <t>Derby City Childminding Network - JCH</t>
  </si>
  <si>
    <t>Derby City Childminding Network - KJD</t>
  </si>
  <si>
    <t>Derby City Childminding Network - LB</t>
  </si>
  <si>
    <t>Derby City Childminding Network - LD</t>
  </si>
  <si>
    <t>Derby City Childminding Network - LMG</t>
  </si>
  <si>
    <t>Derby City Childminding Network - LL</t>
  </si>
  <si>
    <t>Derby City Childminding Network - MEH</t>
  </si>
  <si>
    <t>Derby City Childminding Network - MM</t>
  </si>
  <si>
    <t>Derby City Childminding Network - NTB</t>
  </si>
  <si>
    <t>Derby City Childminding Network - NCJ</t>
  </si>
  <si>
    <t>Derby City Childminding Network - PSM</t>
  </si>
  <si>
    <t>Derby City Childminding Network - PC</t>
  </si>
  <si>
    <t>Derby City Childminding Network - RS</t>
  </si>
  <si>
    <t>Derby City Childminding Network - SAF</t>
  </si>
  <si>
    <t>EY435150</t>
  </si>
  <si>
    <t>Derby City Childminding Network - UK</t>
  </si>
  <si>
    <t>Derby City Childminding Network - AJA</t>
  </si>
  <si>
    <t>Derby City Childminding Network - RAC</t>
  </si>
  <si>
    <t>Derby City Childminding Network - RJF</t>
  </si>
  <si>
    <t>Derby City Childminding Network - WLAW</t>
  </si>
  <si>
    <t>Derby City Childminding Network - ZP</t>
  </si>
  <si>
    <t>Derby City Childminding Network - SW</t>
  </si>
  <si>
    <t>Derby City Childminding Network - SHC</t>
  </si>
  <si>
    <t>De-delegation - see separate breakdown</t>
  </si>
  <si>
    <t>Prim Net NOR</t>
  </si>
  <si>
    <t>Sec Net NOR</t>
  </si>
  <si>
    <t>Behaviour Support - Secondary Hard to Place &amp; Support to Inclusion</t>
  </si>
  <si>
    <t>Pre 16</t>
  </si>
  <si>
    <t>Top up</t>
  </si>
  <si>
    <t>Derby City Childminding Network - STM</t>
  </si>
  <si>
    <t>QUALITY</t>
  </si>
  <si>
    <t>KS1-2</t>
  </si>
  <si>
    <t>KS3-4</t>
  </si>
  <si>
    <t>reduce to zero as none in Oct 2013 if showing any</t>
  </si>
  <si>
    <t>Graduate Leader (per application process)</t>
  </si>
  <si>
    <t xml:space="preserve">Place led funding - Alternative Provision Pro Rata April to August </t>
  </si>
  <si>
    <t>Place led funding - Alternative Provision Pro Rata Sept to March</t>
  </si>
  <si>
    <t>Names</t>
  </si>
  <si>
    <t>Derby City Childminding Network - CL H-P</t>
  </si>
  <si>
    <t>High Needs Formula Indicative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</si>
</sst>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0_ ;[Red]\-#,##0\ "/>
    <numFmt numFmtId="167" formatCode="_(&quot;$&quot;* #,##0.00_);_(&quot;$&quot;* \(#,##0.00\);_(&quot;$&quot;* &quot;-&quot;??_);_(@_)"/>
    <numFmt numFmtId="168" formatCode="#,##0.0000"/>
    <numFmt numFmtId="169" formatCode="#,##0.00_ ;[Red]\-#,##0.00\ "/>
    <numFmt numFmtId="170" formatCode="_-* #,##0_-;\-* #,##0_-;_-* &quot;-&quot;??_-;_-@_-"/>
    <numFmt numFmtId="171" formatCode="#,##0.0000000000"/>
    <numFmt numFmtId="172" formatCode="#,##0.000000"/>
    <numFmt numFmtId="173" formatCode="0.0%"/>
    <numFmt numFmtId="174" formatCode="0.0"/>
    <numFmt numFmtId="175" formatCode="#,##0.00000"/>
    <numFmt numFmtId="176" formatCode="#,##0.00000000"/>
    <numFmt numFmtId="177" formatCode="#,##0.000"/>
  </numFmts>
  <fonts count="41" x14ac:knownFonts="1">
    <font>
      <sz val="10"/>
      <color theme="1"/>
      <name val="Arial"/>
      <family val="2"/>
    </font>
    <font>
      <sz val="10"/>
      <color theme="1"/>
      <name val="Arial"/>
      <family val="2"/>
    </font>
    <font>
      <b/>
      <sz val="10"/>
      <color theme="1"/>
      <name val="Arial"/>
      <family val="2"/>
    </font>
    <font>
      <b/>
      <sz val="12"/>
      <name val="Arial"/>
      <family val="2"/>
    </font>
    <font>
      <sz val="10"/>
      <color indexed="8"/>
      <name val="Arial"/>
      <family val="2"/>
    </font>
    <font>
      <b/>
      <sz val="10"/>
      <name val="Arial"/>
      <family val="2"/>
    </font>
    <font>
      <sz val="12"/>
      <name val="Arial"/>
      <family val="2"/>
    </font>
    <font>
      <sz val="11"/>
      <name val="Arial"/>
      <family val="2"/>
    </font>
    <font>
      <sz val="10"/>
      <name val="Arial"/>
      <family val="2"/>
    </font>
    <font>
      <b/>
      <sz val="8"/>
      <name val="Arial"/>
      <family val="2"/>
    </font>
    <font>
      <sz val="8"/>
      <name val="Arial"/>
      <family val="2"/>
    </font>
    <font>
      <sz val="9"/>
      <color indexed="81"/>
      <name val="Tahoma"/>
      <family val="2"/>
    </font>
    <font>
      <b/>
      <sz val="9"/>
      <color indexed="81"/>
      <name val="Tahoma"/>
      <family val="2"/>
    </font>
    <font>
      <sz val="11"/>
      <name val="Calibri"/>
      <family val="2"/>
      <scheme val="minor"/>
    </font>
    <font>
      <sz val="10"/>
      <color indexed="21"/>
      <name val="System"/>
      <family val="2"/>
    </font>
    <font>
      <sz val="9"/>
      <color indexed="18"/>
      <name val="Arial"/>
      <family val="2"/>
    </font>
    <font>
      <sz val="10"/>
      <color indexed="18"/>
      <name val="System"/>
      <family val="2"/>
    </font>
    <font>
      <i/>
      <sz val="10"/>
      <color indexed="17"/>
      <name val="System"/>
      <family val="2"/>
    </font>
    <font>
      <sz val="11"/>
      <color indexed="8"/>
      <name val="Calibri"/>
      <family val="2"/>
    </font>
    <font>
      <sz val="11"/>
      <color theme="1"/>
      <name val="Calibri"/>
      <family val="2"/>
      <scheme val="minor"/>
    </font>
    <font>
      <sz val="10"/>
      <color indexed="14"/>
      <name val="System"/>
      <family val="2"/>
    </font>
    <font>
      <sz val="9"/>
      <name val="Arial"/>
      <family val="2"/>
    </font>
    <font>
      <sz val="10"/>
      <color indexed="17"/>
      <name val="System"/>
      <family val="2"/>
    </font>
    <font>
      <b/>
      <sz val="11"/>
      <color theme="1"/>
      <name val="Calibri"/>
      <family val="2"/>
      <scheme val="minor"/>
    </font>
    <font>
      <b/>
      <sz val="11"/>
      <name val="Calibri"/>
      <family val="2"/>
      <scheme val="minor"/>
    </font>
    <font>
      <sz val="10"/>
      <color rgb="FFFF0000"/>
      <name val="Arial"/>
      <family val="2"/>
    </font>
    <font>
      <sz val="11"/>
      <color rgb="FFFF0000"/>
      <name val="Calibri"/>
      <family val="2"/>
      <scheme val="minor"/>
    </font>
    <font>
      <sz val="10"/>
      <name val="Arial"/>
      <family val="2"/>
    </font>
    <font>
      <b/>
      <sz val="10"/>
      <color indexed="23"/>
      <name val="Arial"/>
      <family val="2"/>
    </font>
    <font>
      <sz val="10"/>
      <color indexed="23"/>
      <name val="Arial"/>
      <family val="2"/>
    </font>
    <font>
      <b/>
      <sz val="10"/>
      <color indexed="55"/>
      <name val="Arial"/>
      <family val="2"/>
    </font>
    <font>
      <sz val="10"/>
      <color indexed="55"/>
      <name val="Arial"/>
      <family val="2"/>
    </font>
    <font>
      <sz val="12"/>
      <color indexed="55"/>
      <name val="Arial"/>
      <family val="2"/>
    </font>
    <font>
      <sz val="12"/>
      <color theme="1"/>
      <name val="Calibri"/>
      <family val="2"/>
      <scheme val="minor"/>
    </font>
    <font>
      <b/>
      <sz val="11"/>
      <name val="Arial"/>
      <family val="2"/>
    </font>
    <font>
      <b/>
      <sz val="11"/>
      <color indexed="48"/>
      <name val="Arial"/>
      <family val="2"/>
    </font>
    <font>
      <sz val="10"/>
      <name val="Arial"/>
      <family val="2"/>
    </font>
    <font>
      <b/>
      <sz val="8"/>
      <color indexed="81"/>
      <name val="Tahoma"/>
      <family val="2"/>
    </font>
    <font>
      <sz val="8"/>
      <color indexed="81"/>
      <name val="Tahoma"/>
      <family val="2"/>
    </font>
    <font>
      <sz val="8"/>
      <color indexed="10"/>
      <name val="Arial"/>
      <family val="2"/>
    </font>
    <font>
      <b/>
      <sz val="8"/>
      <color indexed="10"/>
      <name val="Arial"/>
      <family val="2"/>
    </font>
  </fonts>
  <fills count="44">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2"/>
        <bgColor indexed="64"/>
      </patternFill>
    </fill>
    <fill>
      <patternFill patternType="solid">
        <fgColor rgb="FFFFC000"/>
        <bgColor indexed="64"/>
      </patternFill>
    </fill>
    <fill>
      <patternFill patternType="solid">
        <fgColor indexed="43"/>
        <bgColor indexed="64"/>
      </patternFill>
    </fill>
    <fill>
      <patternFill patternType="solid">
        <fgColor indexed="45"/>
        <bgColor indexed="64"/>
      </patternFill>
    </fill>
    <fill>
      <patternFill patternType="solid">
        <fgColor theme="8" tint="0.39997558519241921"/>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46"/>
        <bgColor indexed="64"/>
      </patternFill>
    </fill>
    <fill>
      <patternFill patternType="solid">
        <fgColor theme="0"/>
        <bgColor indexed="8"/>
      </patternFill>
    </fill>
    <fill>
      <patternFill patternType="solid">
        <fgColor theme="7" tint="0.39997558519241921"/>
        <bgColor indexed="64"/>
      </patternFill>
    </fill>
    <fill>
      <patternFill patternType="solid">
        <fgColor theme="8" tint="0.79998168889431442"/>
        <bgColor indexed="64"/>
      </patternFill>
    </fill>
    <fill>
      <patternFill patternType="solid">
        <fgColor rgb="FF39E739"/>
        <bgColor indexed="64"/>
      </patternFill>
    </fill>
    <fill>
      <patternFill patternType="solid">
        <fgColor rgb="FF72E5FC"/>
        <bgColor indexed="64"/>
      </patternFill>
    </fill>
    <fill>
      <patternFill patternType="solid">
        <fgColor rgb="FFE8F37B"/>
        <bgColor indexed="64"/>
      </patternFill>
    </fill>
    <fill>
      <patternFill patternType="solid">
        <fgColor theme="0" tint="-4.9989318521683403E-2"/>
        <bgColor indexed="64"/>
      </patternFill>
    </fill>
    <fill>
      <patternFill patternType="solid">
        <fgColor rgb="FFC3A9BF"/>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9D9D7"/>
        <bgColor indexed="64"/>
      </patternFill>
    </fill>
    <fill>
      <patternFill patternType="gray125">
        <fgColor indexed="8"/>
        <bgColor indexed="43"/>
      </patternFill>
    </fill>
    <fill>
      <patternFill patternType="solid">
        <fgColor indexed="42"/>
        <bgColor indexed="8"/>
      </patternFill>
    </fill>
    <fill>
      <patternFill patternType="solid">
        <fgColor theme="6" tint="0.79998168889431442"/>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15"/>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99"/>
        <bgColor indexed="64"/>
      </patternFill>
    </fill>
  </fills>
  <borders count="1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hair">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55">
    <xf numFmtId="0" fontId="0" fillId="0" borderId="0"/>
    <xf numFmtId="0" fontId="8" fillId="0" borderId="0"/>
    <xf numFmtId="9" fontId="8" fillId="0" borderId="0" applyFont="0" applyFill="0" applyBorder="0" applyAlignment="0" applyProtection="0"/>
    <xf numFmtId="0" fontId="8" fillId="0" borderId="0"/>
    <xf numFmtId="0" fontId="9" fillId="0" borderId="0">
      <alignment horizontal="center" vertical="center" wrapText="1"/>
    </xf>
    <xf numFmtId="0" fontId="10" fillId="0" borderId="20">
      <alignment horizontal="center" vertical="center" wrapText="1"/>
    </xf>
    <xf numFmtId="0" fontId="9" fillId="0" borderId="0">
      <alignment horizontal="left" wrapText="1"/>
    </xf>
    <xf numFmtId="0" fontId="10" fillId="0" borderId="0">
      <alignment horizontal="left" vertical="center"/>
    </xf>
    <xf numFmtId="0" fontId="10" fillId="0" borderId="0">
      <alignment horizontal="center" vertical="center"/>
    </xf>
    <xf numFmtId="3" fontId="10" fillId="0" borderId="0">
      <alignment horizontal="right"/>
    </xf>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0" borderId="0" applyNumberFormat="0" applyFill="0" applyBorder="0" applyAlignment="0" applyProtection="0">
      <protection locked="0"/>
    </xf>
    <xf numFmtId="1" fontId="15" fillId="0" borderId="0" applyNumberFormat="0" applyFill="0" applyBorder="0" applyAlignment="0" applyProtection="0"/>
    <xf numFmtId="1" fontId="16" fillId="0" borderId="0" applyNumberFormat="0" applyFill="0" applyBorder="0" applyAlignment="0" applyProtection="0"/>
    <xf numFmtId="10" fontId="17" fillId="0" borderId="21" applyFill="0" applyAlignment="0" applyProtection="0">
      <protection locked="0"/>
    </xf>
    <xf numFmtId="0" fontId="18" fillId="0" borderId="0"/>
    <xf numFmtId="0" fontId="8" fillId="0" borderId="0"/>
    <xf numFmtId="0" fontId="19" fillId="0" borderId="0"/>
    <xf numFmtId="9" fontId="8" fillId="0" borderId="0" applyFont="0" applyFill="0" applyBorder="0" applyAlignment="0" applyProtection="0"/>
    <xf numFmtId="1" fontId="20" fillId="0" borderId="22" applyNumberFormat="0" applyFill="0" applyBorder="0" applyAlignment="0" applyProtection="0"/>
    <xf numFmtId="0" fontId="8" fillId="0" borderId="0"/>
    <xf numFmtId="0" fontId="10" fillId="0" borderId="23" applyBorder="0">
      <alignment horizontal="right"/>
    </xf>
    <xf numFmtId="167" fontId="8" fillId="0" borderId="0"/>
    <xf numFmtId="167" fontId="8" fillId="0" borderId="0"/>
    <xf numFmtId="167" fontId="8" fillId="0" borderId="0"/>
    <xf numFmtId="0" fontId="21" fillId="0" borderId="0" applyNumberFormat="0" applyFill="0" applyBorder="0" applyAlignment="0" applyProtection="0"/>
    <xf numFmtId="0" fontId="22" fillId="0" borderId="0" applyNumberFormat="0" applyFill="0" applyBorder="0" applyAlignment="0" applyProtection="0"/>
    <xf numFmtId="0" fontId="1" fillId="0" borderId="0"/>
    <xf numFmtId="0" fontId="1" fillId="0" borderId="0"/>
    <xf numFmtId="0" fontId="8" fillId="0" borderId="0"/>
    <xf numFmtId="0" fontId="8" fillId="0" borderId="0"/>
    <xf numFmtId="0" fontId="4" fillId="0" borderId="0"/>
    <xf numFmtId="0" fontId="8" fillId="0" borderId="0"/>
    <xf numFmtId="0" fontId="27" fillId="0" borderId="0"/>
    <xf numFmtId="0" fontId="7"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36" fillId="0" borderId="0"/>
    <xf numFmtId="0" fontId="4" fillId="0" borderId="0"/>
    <xf numFmtId="0" fontId="1" fillId="0" borderId="0"/>
    <xf numFmtId="0" fontId="8" fillId="0" borderId="0"/>
  </cellStyleXfs>
  <cellXfs count="1340">
    <xf numFmtId="0" fontId="0" fillId="0" borderId="0" xfId="0"/>
    <xf numFmtId="3" fontId="5" fillId="0" borderId="0" xfId="0" applyNumberFormat="1" applyFont="1" applyFill="1"/>
    <xf numFmtId="0" fontId="0" fillId="0" borderId="0" xfId="0" applyNumberFormat="1" applyFill="1"/>
    <xf numFmtId="164" fontId="8" fillId="0" borderId="0" xfId="0" applyNumberFormat="1" applyFont="1" applyFill="1"/>
    <xf numFmtId="164" fontId="0" fillId="0" borderId="0" xfId="0" applyNumberFormat="1" applyFill="1"/>
    <xf numFmtId="3" fontId="5" fillId="0" borderId="0" xfId="0" applyNumberFormat="1" applyFont="1" applyFill="1" applyAlignment="1">
      <alignment horizontal="center" wrapText="1"/>
    </xf>
    <xf numFmtId="0" fontId="5" fillId="0" borderId="0" xfId="0" applyNumberFormat="1" applyFont="1" applyFill="1" applyAlignment="1">
      <alignment horizontal="center" wrapText="1"/>
    </xf>
    <xf numFmtId="3" fontId="8" fillId="0" borderId="0" xfId="0" applyNumberFormat="1" applyFont="1" applyFill="1" applyAlignment="1">
      <alignment horizontal="center" wrapText="1"/>
    </xf>
    <xf numFmtId="3" fontId="5" fillId="0" borderId="0" xfId="0" applyNumberFormat="1" applyFont="1" applyFill="1" applyBorder="1" applyAlignment="1">
      <alignment horizontal="center" vertical="center" wrapText="1"/>
    </xf>
    <xf numFmtId="3" fontId="8" fillId="0" borderId="0" xfId="0" applyNumberFormat="1" applyFont="1" applyFill="1"/>
    <xf numFmtId="0" fontId="8" fillId="0" borderId="0" xfId="0" applyNumberFormat="1" applyFont="1" applyFill="1"/>
    <xf numFmtId="3" fontId="0" fillId="0" borderId="0" xfId="0" applyNumberFormat="1" applyFill="1"/>
    <xf numFmtId="0" fontId="8" fillId="0" borderId="0" xfId="0" applyFont="1" applyFill="1" applyProtection="1">
      <protection locked="0"/>
    </xf>
    <xf numFmtId="3" fontId="5" fillId="0" borderId="0" xfId="0" applyNumberFormat="1" applyFont="1" applyFill="1" applyAlignment="1">
      <alignment horizontal="left" wrapText="1"/>
    </xf>
    <xf numFmtId="166" fontId="0" fillId="0" borderId="0" xfId="0" applyNumberFormat="1" applyFill="1" applyBorder="1"/>
    <xf numFmtId="166" fontId="5" fillId="0" borderId="0" xfId="0" applyNumberFormat="1" applyFont="1" applyFill="1" applyBorder="1" applyAlignment="1">
      <alignment horizontal="center" vertical="center" wrapText="1"/>
    </xf>
    <xf numFmtId="166" fontId="0" fillId="0" borderId="0" xfId="0" applyNumberFormat="1" applyFill="1"/>
    <xf numFmtId="4" fontId="0" fillId="0" borderId="0" xfId="0" applyNumberFormat="1"/>
    <xf numFmtId="165" fontId="8" fillId="0" borderId="0" xfId="0" applyNumberFormat="1" applyFont="1" applyFill="1"/>
    <xf numFmtId="165" fontId="0" fillId="0" borderId="0" xfId="0" applyNumberFormat="1" applyFill="1"/>
    <xf numFmtId="0" fontId="0" fillId="0" borderId="0" xfId="0" applyNumberFormat="1" applyFill="1" applyAlignment="1">
      <alignment wrapText="1"/>
    </xf>
    <xf numFmtId="4" fontId="0" fillId="0" borderId="0" xfId="0" applyNumberFormat="1" applyFill="1"/>
    <xf numFmtId="0" fontId="0" fillId="0" borderId="0" xfId="0" applyFill="1" applyBorder="1"/>
    <xf numFmtId="3" fontId="0" fillId="0" borderId="0" xfId="0" applyNumberFormat="1" applyFill="1" applyBorder="1"/>
    <xf numFmtId="3" fontId="5" fillId="0" borderId="0" xfId="0" applyNumberFormat="1" applyFont="1" applyFill="1" applyBorder="1"/>
    <xf numFmtId="3" fontId="8" fillId="0" borderId="0" xfId="0" applyNumberFormat="1" applyFont="1" applyFill="1" applyBorder="1"/>
    <xf numFmtId="0" fontId="8" fillId="0" borderId="0" xfId="0" applyNumberFormat="1" applyFont="1" applyFill="1" applyBorder="1"/>
    <xf numFmtId="0" fontId="8" fillId="6" borderId="0" xfId="0" applyNumberFormat="1" applyFont="1" applyFill="1"/>
    <xf numFmtId="0" fontId="0" fillId="6" borderId="28" xfId="0" applyFill="1" applyBorder="1" applyAlignment="1">
      <alignment horizontal="right" vertical="center"/>
    </xf>
    <xf numFmtId="3" fontId="2" fillId="0" borderId="0" xfId="0" applyNumberFormat="1" applyFont="1" applyFill="1"/>
    <xf numFmtId="0" fontId="0" fillId="0" borderId="0" xfId="0" applyFill="1"/>
    <xf numFmtId="4" fontId="8" fillId="0" borderId="0" xfId="0" applyNumberFormat="1" applyFont="1" applyFill="1"/>
    <xf numFmtId="164" fontId="8" fillId="0" borderId="0" xfId="0" applyNumberFormat="1" applyFont="1" applyFill="1" applyAlignment="1">
      <alignment horizontal="right"/>
    </xf>
    <xf numFmtId="0" fontId="0" fillId="6" borderId="0" xfId="0" applyFill="1"/>
    <xf numFmtId="3" fontId="0" fillId="0" borderId="0" xfId="0" applyNumberFormat="1" applyFont="1" applyFill="1"/>
    <xf numFmtId="3" fontId="5"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24" fillId="0" borderId="0" xfId="0" applyFont="1" applyFill="1"/>
    <xf numFmtId="0" fontId="24" fillId="0" borderId="0" xfId="0" applyFont="1" applyFill="1" applyAlignment="1">
      <alignment vertical="top" wrapText="1"/>
    </xf>
    <xf numFmtId="0" fontId="13" fillId="0" borderId="0" xfId="0" applyFont="1" applyFill="1" applyBorder="1" applyAlignment="1">
      <alignment vertical="top" wrapText="1"/>
    </xf>
    <xf numFmtId="3" fontId="13" fillId="0" borderId="0" xfId="0" applyNumberFormat="1" applyFont="1" applyFill="1" applyAlignment="1">
      <alignment vertical="top" wrapText="1"/>
    </xf>
    <xf numFmtId="0" fontId="13" fillId="0" borderId="0" xfId="0" applyFont="1" applyFill="1" applyAlignment="1">
      <alignment vertical="top" wrapText="1"/>
    </xf>
    <xf numFmtId="0" fontId="13" fillId="0" borderId="0" xfId="0" applyFont="1" applyFill="1"/>
    <xf numFmtId="3" fontId="13" fillId="0" borderId="0" xfId="0" applyNumberFormat="1" applyFont="1" applyFill="1"/>
    <xf numFmtId="0" fontId="13" fillId="0" borderId="0" xfId="0" applyFont="1" applyFill="1" applyBorder="1"/>
    <xf numFmtId="0" fontId="13" fillId="0" borderId="0" xfId="0" applyFont="1" applyFill="1" applyBorder="1" applyAlignment="1">
      <alignment horizontal="center"/>
    </xf>
    <xf numFmtId="3" fontId="13" fillId="0" borderId="23" xfId="0" applyNumberFormat="1" applyFont="1" applyFill="1" applyBorder="1" applyAlignment="1">
      <alignment horizontal="center"/>
    </xf>
    <xf numFmtId="3" fontId="13" fillId="0" borderId="0" xfId="0" applyNumberFormat="1" applyFont="1" applyFill="1" applyBorder="1" applyAlignment="1">
      <alignment horizontal="center"/>
    </xf>
    <xf numFmtId="0" fontId="13" fillId="6" borderId="0" xfId="0" applyFont="1" applyFill="1"/>
    <xf numFmtId="0" fontId="8" fillId="0" borderId="0" xfId="1"/>
    <xf numFmtId="0" fontId="8" fillId="0" borderId="0" xfId="1" applyFill="1" applyBorder="1"/>
    <xf numFmtId="0" fontId="8" fillId="0" borderId="0" xfId="1" applyBorder="1"/>
    <xf numFmtId="0" fontId="8" fillId="0" borderId="18" xfId="1" applyBorder="1"/>
    <xf numFmtId="0" fontId="8" fillId="0" borderId="0" xfId="0" applyFont="1" applyFill="1" applyBorder="1"/>
    <xf numFmtId="0" fontId="8" fillId="0" borderId="0" xfId="1" applyFont="1" applyFill="1" applyBorder="1" applyAlignment="1">
      <alignment vertical="center"/>
    </xf>
    <xf numFmtId="0" fontId="2" fillId="0" borderId="0" xfId="0" applyFont="1" applyFill="1"/>
    <xf numFmtId="0" fontId="0" fillId="0" borderId="0" xfId="0" applyAlignment="1">
      <alignment wrapText="1"/>
    </xf>
    <xf numFmtId="0" fontId="0" fillId="0" borderId="0" xfId="0" applyBorder="1" applyAlignment="1"/>
    <xf numFmtId="0" fontId="0" fillId="0" borderId="0" xfId="0" applyFill="1" applyBorder="1" applyAlignment="1"/>
    <xf numFmtId="0" fontId="27" fillId="0" borderId="1" xfId="40" applyBorder="1"/>
    <xf numFmtId="0" fontId="27" fillId="0" borderId="0" xfId="40"/>
    <xf numFmtId="0" fontId="27" fillId="0" borderId="0" xfId="40" applyBorder="1"/>
    <xf numFmtId="3" fontId="27" fillId="0" borderId="4" xfId="40" applyNumberFormat="1" applyBorder="1"/>
    <xf numFmtId="0" fontId="5" fillId="0" borderId="3" xfId="40" applyFont="1" applyBorder="1" applyAlignment="1">
      <alignment horizontal="right"/>
    </xf>
    <xf numFmtId="3" fontId="27" fillId="15" borderId="4" xfId="40" applyNumberFormat="1" applyFill="1" applyBorder="1"/>
    <xf numFmtId="0" fontId="5" fillId="0" borderId="0" xfId="40" applyFont="1" applyFill="1" applyBorder="1" applyAlignment="1">
      <alignment horizontal="left"/>
    </xf>
    <xf numFmtId="0" fontId="5" fillId="0" borderId="0" xfId="40" applyFont="1" applyBorder="1" applyAlignment="1">
      <alignment horizontal="right"/>
    </xf>
    <xf numFmtId="0" fontId="5" fillId="0" borderId="3" xfId="40" applyFont="1" applyBorder="1"/>
    <xf numFmtId="0" fontId="27" fillId="0" borderId="0" xfId="40" applyFill="1" applyBorder="1"/>
    <xf numFmtId="3" fontId="27" fillId="0" borderId="0" xfId="40" applyNumberFormat="1"/>
    <xf numFmtId="0" fontId="3" fillId="0" borderId="30" xfId="40" applyFont="1" applyFill="1" applyBorder="1" applyAlignment="1"/>
    <xf numFmtId="0" fontId="3" fillId="0" borderId="2" xfId="40" applyFont="1" applyFill="1" applyBorder="1" applyAlignment="1"/>
    <xf numFmtId="0" fontId="5" fillId="0" borderId="0" xfId="40" applyFont="1" applyBorder="1"/>
    <xf numFmtId="0" fontId="6" fillId="17" borderId="30" xfId="40" applyFont="1" applyFill="1" applyBorder="1" applyAlignment="1">
      <alignment horizontal="center" vertical="center" wrapText="1"/>
    </xf>
    <xf numFmtId="0" fontId="6" fillId="0" borderId="0" xfId="40" applyFont="1"/>
    <xf numFmtId="0" fontId="8" fillId="0" borderId="0" xfId="23"/>
    <xf numFmtId="0" fontId="8" fillId="15" borderId="0" xfId="1" applyFont="1" applyFill="1" applyBorder="1" applyAlignment="1">
      <alignment horizontal="left"/>
    </xf>
    <xf numFmtId="0" fontId="8" fillId="15" borderId="0" xfId="1" applyFont="1" applyFill="1" applyBorder="1" applyAlignment="1">
      <alignment horizontal="left" vertical="center"/>
    </xf>
    <xf numFmtId="0" fontId="8" fillId="0" borderId="0" xfId="37" applyNumberFormat="1" applyFill="1" applyBorder="1" applyAlignment="1">
      <alignment vertical="center"/>
    </xf>
    <xf numFmtId="2" fontId="8" fillId="0" borderId="0" xfId="37" applyNumberFormat="1" applyFill="1" applyBorder="1" applyAlignment="1">
      <alignment horizontal="right" vertical="center"/>
    </xf>
    <xf numFmtId="0" fontId="8" fillId="0" borderId="0" xfId="37" applyNumberFormat="1" applyFill="1" applyBorder="1" applyAlignment="1">
      <alignment horizontal="right" vertical="center"/>
    </xf>
    <xf numFmtId="0" fontId="0" fillId="0" borderId="0" xfId="37" applyFont="1" applyFill="1" applyBorder="1" applyAlignment="1">
      <alignment vertical="center"/>
    </xf>
    <xf numFmtId="0" fontId="19" fillId="0" borderId="0" xfId="24" applyFill="1" applyBorder="1" applyAlignment="1">
      <alignment horizontal="center" vertical="center"/>
    </xf>
    <xf numFmtId="2" fontId="8" fillId="0" borderId="0" xfId="1" applyNumberFormat="1" applyFill="1" applyBorder="1" applyAlignment="1">
      <alignment horizontal="center" vertical="center"/>
    </xf>
    <xf numFmtId="2" fontId="8" fillId="20" borderId="0" xfId="41" applyNumberFormat="1" applyFont="1" applyFill="1" applyBorder="1" applyAlignment="1">
      <alignment horizontal="left" wrapText="1"/>
    </xf>
    <xf numFmtId="0" fontId="8" fillId="15" borderId="0" xfId="41" applyNumberFormat="1" applyFont="1" applyFill="1" applyBorder="1" applyAlignment="1">
      <alignment horizontal="left" wrapText="1"/>
    </xf>
    <xf numFmtId="0" fontId="8" fillId="0" borderId="0" xfId="24" applyFont="1" applyFill="1" applyBorder="1" applyAlignment="1">
      <alignment horizontal="center" vertical="center"/>
    </xf>
    <xf numFmtId="2" fontId="8" fillId="15" borderId="0" xfId="41" applyNumberFormat="1" applyFont="1" applyFill="1" applyBorder="1" applyAlignment="1">
      <alignment horizontal="left" wrapText="1"/>
    </xf>
    <xf numFmtId="0" fontId="19" fillId="0" borderId="0" xfId="24" applyFill="1" applyBorder="1" applyAlignment="1">
      <alignment horizontal="right" vertical="center"/>
    </xf>
    <xf numFmtId="0" fontId="8" fillId="0" borderId="0" xfId="1" applyFont="1"/>
    <xf numFmtId="0" fontId="8" fillId="0" borderId="0" xfId="1" applyNumberFormat="1" applyFont="1" applyFill="1" applyAlignment="1">
      <alignment horizontal="center"/>
    </xf>
    <xf numFmtId="0" fontId="27" fillId="0" borderId="0" xfId="40" applyAlignment="1">
      <alignment horizontal="left"/>
    </xf>
    <xf numFmtId="2" fontId="8" fillId="0" borderId="0" xfId="37" applyNumberFormat="1" applyFill="1" applyBorder="1" applyAlignment="1">
      <alignment horizontal="left" vertical="center"/>
    </xf>
    <xf numFmtId="0" fontId="8" fillId="0" borderId="0" xfId="37" applyNumberFormat="1" applyFill="1" applyBorder="1" applyAlignment="1">
      <alignment horizontal="left" vertical="center"/>
    </xf>
    <xf numFmtId="0" fontId="19" fillId="0" borderId="0" xfId="24" applyFill="1" applyBorder="1" applyAlignment="1">
      <alignment horizontal="left" vertical="center"/>
    </xf>
    <xf numFmtId="2" fontId="8" fillId="0" borderId="0" xfId="1" applyNumberFormat="1" applyFill="1" applyBorder="1" applyAlignment="1">
      <alignment horizontal="left" vertical="center"/>
    </xf>
    <xf numFmtId="0" fontId="8" fillId="0" borderId="0" xfId="24" applyFont="1" applyFill="1" applyBorder="1" applyAlignment="1">
      <alignment horizontal="left" vertical="center"/>
    </xf>
    <xf numFmtId="0" fontId="8" fillId="0" borderId="0" xfId="38" applyNumberFormat="1" applyFont="1" applyFill="1" applyBorder="1" applyAlignment="1">
      <alignment horizontal="right" wrapText="1"/>
    </xf>
    <xf numFmtId="0" fontId="8" fillId="0" borderId="0" xfId="37" applyNumberFormat="1" applyFont="1" applyFill="1" applyBorder="1" applyAlignment="1">
      <alignment horizontal="right" vertical="center"/>
    </xf>
    <xf numFmtId="0" fontId="4" fillId="0" borderId="0" xfId="38" applyNumberFormat="1" applyFont="1" applyFill="1" applyBorder="1" applyAlignment="1">
      <alignment wrapText="1"/>
    </xf>
    <xf numFmtId="0" fontId="25" fillId="0" borderId="0" xfId="34" applyFont="1" applyFill="1" applyBorder="1"/>
    <xf numFmtId="0" fontId="0" fillId="0" borderId="0" xfId="37" applyNumberFormat="1" applyFont="1" applyFill="1" applyBorder="1" applyAlignment="1">
      <alignment vertical="center"/>
    </xf>
    <xf numFmtId="0" fontId="27" fillId="15" borderId="4" xfId="40" applyFill="1" applyBorder="1" applyAlignment="1">
      <alignment horizontal="center"/>
    </xf>
    <xf numFmtId="0" fontId="8" fillId="0" borderId="0" xfId="1" applyFill="1" applyBorder="1" applyAlignment="1">
      <alignment horizontal="center" vertical="center"/>
    </xf>
    <xf numFmtId="0" fontId="8" fillId="15" borderId="18" xfId="1" applyFont="1" applyFill="1" applyBorder="1" applyAlignment="1">
      <alignment horizontal="left"/>
    </xf>
    <xf numFmtId="164" fontId="3" fillId="7" borderId="14" xfId="40" applyNumberFormat="1" applyFont="1" applyFill="1" applyBorder="1" applyAlignment="1">
      <alignment horizontal="center" vertical="center"/>
    </xf>
    <xf numFmtId="0" fontId="3" fillId="7" borderId="7" xfId="40" applyFont="1" applyFill="1" applyBorder="1"/>
    <xf numFmtId="0" fontId="5" fillId="7" borderId="14" xfId="40" applyFont="1" applyFill="1" applyBorder="1"/>
    <xf numFmtId="164" fontId="6" fillId="17" borderId="9" xfId="40" applyNumberFormat="1" applyFont="1" applyFill="1" applyBorder="1" applyAlignment="1">
      <alignment horizontal="center"/>
    </xf>
    <xf numFmtId="164" fontId="3" fillId="0" borderId="15" xfId="40" applyNumberFormat="1" applyFont="1" applyFill="1" applyBorder="1" applyAlignment="1">
      <alignment horizontal="center" vertical="center"/>
    </xf>
    <xf numFmtId="0" fontId="6" fillId="17" borderId="7" xfId="40" applyFont="1" applyFill="1" applyBorder="1" applyAlignment="1">
      <alignment horizontal="center" vertical="center" wrapText="1"/>
    </xf>
    <xf numFmtId="0" fontId="6" fillId="17" borderId="67" xfId="40" applyFont="1" applyFill="1" applyBorder="1" applyAlignment="1">
      <alignment horizontal="center" vertical="center" wrapText="1"/>
    </xf>
    <xf numFmtId="6" fontId="6" fillId="0" borderId="68" xfId="40" applyNumberFormat="1" applyFont="1" applyBorder="1" applyAlignment="1">
      <alignment horizontal="center" vertical="center" wrapText="1"/>
    </xf>
    <xf numFmtId="0" fontId="5" fillId="14" borderId="9" xfId="40" applyFont="1" applyFill="1" applyBorder="1" applyAlignment="1" applyProtection="1">
      <alignment horizontal="center"/>
      <protection locked="0"/>
    </xf>
    <xf numFmtId="0" fontId="6" fillId="17" borderId="62" xfId="40" applyFont="1" applyFill="1" applyBorder="1" applyAlignment="1">
      <alignment horizontal="center" vertical="center" wrapText="1"/>
    </xf>
    <xf numFmtId="0" fontId="6" fillId="0" borderId="70" xfId="40" applyFont="1" applyBorder="1" applyAlignment="1">
      <alignment horizontal="center" vertical="center"/>
    </xf>
    <xf numFmtId="6" fontId="6" fillId="0" borderId="62" xfId="40" applyNumberFormat="1" applyFont="1" applyBorder="1" applyAlignment="1">
      <alignment horizontal="center" vertical="center" wrapText="1"/>
    </xf>
    <xf numFmtId="0" fontId="3" fillId="0" borderId="61" xfId="40" applyFont="1" applyBorder="1" applyAlignment="1">
      <alignment horizontal="left" vertical="center"/>
    </xf>
    <xf numFmtId="0" fontId="3" fillId="0" borderId="15" xfId="40" applyFont="1" applyBorder="1" applyAlignment="1">
      <alignment horizontal="left" vertical="center"/>
    </xf>
    <xf numFmtId="0" fontId="3" fillId="0" borderId="66" xfId="40" applyFont="1" applyBorder="1" applyAlignment="1">
      <alignment horizontal="left" vertical="center"/>
    </xf>
    <xf numFmtId="0" fontId="3" fillId="0" borderId="15" xfId="40" applyFont="1" applyBorder="1" applyAlignment="1">
      <alignment vertical="center"/>
    </xf>
    <xf numFmtId="0" fontId="3" fillId="7" borderId="9" xfId="40" applyFont="1" applyFill="1" applyBorder="1" applyAlignment="1">
      <alignment vertical="center"/>
    </xf>
    <xf numFmtId="0" fontId="6" fillId="0" borderId="48" xfId="40" applyFont="1" applyBorder="1" applyAlignment="1">
      <alignment horizontal="center" vertical="center"/>
    </xf>
    <xf numFmtId="0" fontId="6" fillId="17" borderId="9" xfId="40" applyFont="1" applyFill="1" applyBorder="1" applyAlignment="1">
      <alignment horizontal="center" vertical="center" wrapText="1"/>
    </xf>
    <xf numFmtId="0" fontId="8" fillId="17" borderId="9" xfId="40" applyFont="1" applyFill="1" applyBorder="1" applyAlignment="1">
      <alignment horizontal="center" vertical="center" wrapText="1"/>
    </xf>
    <xf numFmtId="0" fontId="8" fillId="17" borderId="7" xfId="40" applyFont="1" applyFill="1" applyBorder="1" applyAlignment="1">
      <alignment horizontal="center" vertical="center" wrapText="1"/>
    </xf>
    <xf numFmtId="0" fontId="8" fillId="17" borderId="67" xfId="40" applyFont="1" applyFill="1" applyBorder="1" applyAlignment="1">
      <alignment horizontal="center" vertical="center" wrapText="1"/>
    </xf>
    <xf numFmtId="0" fontId="8" fillId="0" borderId="0" xfId="40" applyFont="1" applyFill="1" applyBorder="1"/>
    <xf numFmtId="3" fontId="2" fillId="7" borderId="0" xfId="0" applyNumberFormat="1" applyFont="1" applyFill="1"/>
    <xf numFmtId="3" fontId="0" fillId="7" borderId="0" xfId="0" applyNumberFormat="1" applyFill="1"/>
    <xf numFmtId="3" fontId="0" fillId="25" borderId="0" xfId="0" applyNumberFormat="1" applyFill="1"/>
    <xf numFmtId="2" fontId="0" fillId="0" borderId="0" xfId="37" applyNumberFormat="1" applyFont="1" applyFill="1" applyBorder="1" applyAlignment="1">
      <alignment horizontal="right" vertical="center"/>
    </xf>
    <xf numFmtId="0" fontId="8" fillId="0" borderId="0" xfId="1" applyFill="1" applyBorder="1" applyAlignment="1">
      <alignment vertical="center"/>
    </xf>
    <xf numFmtId="0" fontId="8" fillId="0" borderId="0" xfId="23" applyFill="1" applyBorder="1"/>
    <xf numFmtId="0" fontId="8" fillId="0" borderId="0" xfId="34" applyFont="1" applyFill="1" applyBorder="1"/>
    <xf numFmtId="0" fontId="8" fillId="0" borderId="0" xfId="39" applyFill="1" applyBorder="1"/>
    <xf numFmtId="2" fontId="8" fillId="0" borderId="0" xfId="37" applyNumberFormat="1" applyFont="1" applyFill="1" applyBorder="1" applyAlignment="1">
      <alignment horizontal="right" vertical="center"/>
    </xf>
    <xf numFmtId="0" fontId="8" fillId="15" borderId="12" xfId="1" applyFont="1" applyFill="1" applyBorder="1" applyAlignment="1">
      <alignment horizontal="left"/>
    </xf>
    <xf numFmtId="2" fontId="8" fillId="15" borderId="12" xfId="41" applyNumberFormat="1" applyFont="1" applyFill="1" applyBorder="1" applyAlignment="1">
      <alignment horizontal="left" wrapText="1"/>
    </xf>
    <xf numFmtId="0" fontId="8" fillId="15" borderId="19" xfId="1" applyFont="1" applyFill="1" applyBorder="1" applyAlignment="1">
      <alignment horizontal="left"/>
    </xf>
    <xf numFmtId="0" fontId="27" fillId="0" borderId="34" xfId="40" applyBorder="1" applyAlignment="1">
      <alignment horizontal="left"/>
    </xf>
    <xf numFmtId="0" fontId="8" fillId="15" borderId="12" xfId="1" applyFont="1" applyFill="1" applyBorder="1" applyAlignment="1">
      <alignment horizontal="left" vertical="center"/>
    </xf>
    <xf numFmtId="0" fontId="8" fillId="15" borderId="12" xfId="41" applyNumberFormat="1" applyFont="1" applyFill="1" applyBorder="1" applyAlignment="1">
      <alignment horizontal="left" wrapText="1"/>
    </xf>
    <xf numFmtId="0" fontId="19" fillId="0" borderId="12" xfId="24" applyFill="1" applyBorder="1" applyAlignment="1">
      <alignment horizontal="left" vertical="center"/>
    </xf>
    <xf numFmtId="0" fontId="0" fillId="0" borderId="0" xfId="0" applyFill="1" applyBorder="1" applyAlignment="1">
      <alignment horizontal="left"/>
    </xf>
    <xf numFmtId="0" fontId="8" fillId="26" borderId="9" xfId="40" applyFont="1" applyFill="1" applyBorder="1" applyAlignment="1">
      <alignment horizontal="center"/>
    </xf>
    <xf numFmtId="0" fontId="6" fillId="27" borderId="63" xfId="40" applyFont="1" applyFill="1" applyBorder="1" applyAlignment="1">
      <alignment horizontal="center" vertical="center" wrapText="1"/>
    </xf>
    <xf numFmtId="0" fontId="3" fillId="27" borderId="42" xfId="40" applyFont="1" applyFill="1" applyBorder="1" applyAlignment="1">
      <alignment horizontal="left" vertical="center" wrapText="1"/>
    </xf>
    <xf numFmtId="0" fontId="8" fillId="17" borderId="61" xfId="40" applyFont="1" applyFill="1" applyBorder="1" applyAlignment="1">
      <alignment horizontal="center" vertical="center" wrapText="1"/>
    </xf>
    <xf numFmtId="0" fontId="6" fillId="17" borderId="1" xfId="40" applyFont="1" applyFill="1" applyBorder="1" applyAlignment="1">
      <alignment horizontal="center" vertical="center" wrapText="1"/>
    </xf>
    <xf numFmtId="164" fontId="6" fillId="17" borderId="61" xfId="40" applyNumberFormat="1" applyFont="1" applyFill="1" applyBorder="1" applyAlignment="1">
      <alignment horizontal="center"/>
    </xf>
    <xf numFmtId="0" fontId="6" fillId="0" borderId="0" xfId="40" applyFont="1" applyFill="1" applyBorder="1" applyAlignment="1"/>
    <xf numFmtId="0" fontId="27" fillId="0" borderId="1" xfId="40" applyBorder="1" applyProtection="1"/>
    <xf numFmtId="0" fontId="27" fillId="0" borderId="30" xfId="40" applyBorder="1" applyProtection="1"/>
    <xf numFmtId="3" fontId="27" fillId="0" borderId="2" xfId="40" applyNumberFormat="1" applyBorder="1" applyProtection="1"/>
    <xf numFmtId="3" fontId="27" fillId="0" borderId="0" xfId="40" applyNumberFormat="1" applyFill="1" applyBorder="1" applyProtection="1"/>
    <xf numFmtId="0" fontId="8" fillId="0" borderId="0" xfId="40" applyFont="1" applyProtection="1"/>
    <xf numFmtId="0" fontId="27" fillId="0" borderId="0" xfId="40" applyProtection="1"/>
    <xf numFmtId="0" fontId="27" fillId="0" borderId="3" xfId="40" applyBorder="1" applyProtection="1"/>
    <xf numFmtId="0" fontId="27" fillId="0" borderId="0" xfId="40" applyBorder="1" applyProtection="1"/>
    <xf numFmtId="3" fontId="27" fillId="0" borderId="4" xfId="40" applyNumberFormat="1" applyBorder="1" applyProtection="1"/>
    <xf numFmtId="0" fontId="3" fillId="15" borderId="0" xfId="40" applyFont="1" applyFill="1" applyBorder="1" applyAlignment="1" applyProtection="1">
      <alignment horizontal="center"/>
    </xf>
    <xf numFmtId="0" fontId="6" fillId="15" borderId="0" xfId="23" applyFont="1" applyFill="1" applyBorder="1" applyProtection="1"/>
    <xf numFmtId="0" fontId="3" fillId="4" borderId="0" xfId="23" applyFont="1" applyFill="1" applyBorder="1" applyAlignment="1" applyProtection="1">
      <alignment horizontal="center" vertical="center"/>
    </xf>
    <xf numFmtId="0" fontId="3" fillId="0" borderId="0" xfId="23" applyFont="1" applyFill="1" applyBorder="1" applyAlignment="1" applyProtection="1">
      <alignment vertical="center"/>
    </xf>
    <xf numFmtId="0" fontId="3" fillId="3" borderId="9" xfId="23" applyFont="1" applyFill="1" applyBorder="1" applyAlignment="1" applyProtection="1">
      <alignment horizontal="center" vertical="center" wrapText="1"/>
    </xf>
    <xf numFmtId="3" fontId="3" fillId="3" borderId="9" xfId="23" applyNumberFormat="1" applyFont="1" applyFill="1" applyBorder="1" applyAlignment="1" applyProtection="1">
      <alignment horizontal="center" vertical="center"/>
    </xf>
    <xf numFmtId="0" fontId="3" fillId="0" borderId="0" xfId="23" applyFont="1" applyFill="1" applyBorder="1" applyAlignment="1" applyProtection="1">
      <alignment horizontal="center"/>
    </xf>
    <xf numFmtId="0" fontId="6" fillId="0" borderId="0" xfId="23" applyFont="1" applyFill="1" applyBorder="1" applyProtection="1"/>
    <xf numFmtId="0" fontId="3" fillId="4" borderId="9" xfId="23" applyFont="1" applyFill="1" applyBorder="1" applyAlignment="1" applyProtection="1">
      <alignment horizontal="center" vertical="center"/>
    </xf>
    <xf numFmtId="3" fontId="3" fillId="4" borderId="9" xfId="23" applyNumberFormat="1" applyFont="1" applyFill="1" applyBorder="1" applyAlignment="1" applyProtection="1">
      <alignment horizontal="center" vertical="center"/>
    </xf>
    <xf numFmtId="0" fontId="3" fillId="0" borderId="0" xfId="23" applyFont="1" applyFill="1" applyBorder="1" applyAlignment="1" applyProtection="1">
      <alignment horizontal="center" vertical="center"/>
    </xf>
    <xf numFmtId="0" fontId="3" fillId="0" borderId="3" xfId="23" applyFont="1" applyFill="1" applyBorder="1" applyAlignment="1" applyProtection="1">
      <alignment vertical="center"/>
    </xf>
    <xf numFmtId="0" fontId="6" fillId="0" borderId="4" xfId="23" applyFont="1" applyFill="1" applyBorder="1" applyProtection="1"/>
    <xf numFmtId="0" fontId="6" fillId="0" borderId="3" xfId="23" applyFont="1" applyFill="1" applyBorder="1" applyProtection="1"/>
    <xf numFmtId="3" fontId="6" fillId="0" borderId="4" xfId="23" applyNumberFormat="1" applyFont="1" applyFill="1" applyBorder="1" applyProtection="1"/>
    <xf numFmtId="0" fontId="3" fillId="2" borderId="80" xfId="23" applyFont="1" applyFill="1" applyBorder="1" applyAlignment="1" applyProtection="1">
      <alignment horizontal="center" vertical="center" wrapText="1"/>
    </xf>
    <xf numFmtId="17" fontId="3" fillId="2" borderId="78" xfId="23" applyNumberFormat="1" applyFont="1" applyFill="1" applyBorder="1" applyAlignment="1" applyProtection="1">
      <alignment horizontal="center" vertical="center" wrapText="1"/>
    </xf>
    <xf numFmtId="3" fontId="3" fillId="2" borderId="79" xfId="23" applyNumberFormat="1" applyFont="1" applyFill="1" applyBorder="1" applyAlignment="1" applyProtection="1">
      <alignment horizontal="center" wrapText="1"/>
    </xf>
    <xf numFmtId="0" fontId="3" fillId="0" borderId="0" xfId="23" applyFont="1" applyFill="1" applyBorder="1" applyAlignment="1" applyProtection="1">
      <alignment horizontal="center" wrapText="1"/>
    </xf>
    <xf numFmtId="0" fontId="8" fillId="0" borderId="0" xfId="40" applyFont="1" applyBorder="1" applyProtection="1"/>
    <xf numFmtId="0" fontId="6" fillId="0" borderId="48" xfId="23" applyFont="1" applyBorder="1" applyProtection="1"/>
    <xf numFmtId="0" fontId="33" fillId="9" borderId="0" xfId="24" applyFont="1" applyFill="1" applyBorder="1" applyAlignment="1" applyProtection="1">
      <alignment horizontal="center"/>
    </xf>
    <xf numFmtId="3" fontId="6" fillId="0" borderId="52" xfId="23" applyNumberFormat="1" applyFont="1" applyFill="1" applyBorder="1" applyAlignment="1" applyProtection="1">
      <alignment horizontal="center" vertical="center"/>
    </xf>
    <xf numFmtId="164" fontId="6" fillId="5" borderId="76" xfId="23" applyNumberFormat="1" applyFont="1" applyFill="1" applyBorder="1" applyAlignment="1" applyProtection="1">
      <alignment horizontal="center"/>
    </xf>
    <xf numFmtId="164" fontId="6" fillId="0" borderId="0" xfId="23" applyNumberFormat="1" applyFont="1" applyFill="1" applyBorder="1" applyAlignment="1" applyProtection="1">
      <alignment horizontal="center"/>
    </xf>
    <xf numFmtId="3" fontId="6" fillId="0" borderId="0" xfId="23" applyNumberFormat="1" applyFont="1" applyFill="1" applyBorder="1" applyAlignment="1" applyProtection="1">
      <alignment horizontal="center" vertical="center"/>
    </xf>
    <xf numFmtId="0" fontId="6" fillId="0" borderId="49" xfId="23" applyFont="1" applyBorder="1" applyProtection="1"/>
    <xf numFmtId="0" fontId="33" fillId="9" borderId="32" xfId="24" applyFont="1" applyFill="1" applyBorder="1" applyAlignment="1" applyProtection="1">
      <alignment horizontal="center"/>
    </xf>
    <xf numFmtId="3" fontId="6" fillId="0" borderId="51" xfId="23" applyNumberFormat="1" applyFont="1" applyFill="1" applyBorder="1" applyAlignment="1" applyProtection="1">
      <alignment horizontal="center" vertical="center"/>
    </xf>
    <xf numFmtId="164" fontId="6" fillId="5" borderId="35" xfId="23" applyNumberFormat="1" applyFont="1" applyFill="1" applyBorder="1" applyAlignment="1" applyProtection="1">
      <alignment horizontal="center"/>
    </xf>
    <xf numFmtId="168" fontId="33" fillId="9" borderId="32" xfId="24" applyNumberFormat="1" applyFont="1" applyFill="1" applyBorder="1" applyAlignment="1" applyProtection="1">
      <alignment horizontal="center"/>
    </xf>
    <xf numFmtId="0" fontId="6" fillId="0" borderId="57" xfId="23" applyFont="1" applyBorder="1" applyProtection="1"/>
    <xf numFmtId="164" fontId="6" fillId="5" borderId="73" xfId="23" applyNumberFormat="1" applyFont="1" applyFill="1" applyBorder="1" applyAlignment="1" applyProtection="1">
      <alignment horizontal="center"/>
    </xf>
    <xf numFmtId="0" fontId="3" fillId="11" borderId="7" xfId="23" applyFont="1" applyFill="1" applyBorder="1" applyAlignment="1" applyProtection="1">
      <alignment vertical="center" wrapText="1"/>
    </xf>
    <xf numFmtId="0" fontId="3" fillId="11" borderId="8" xfId="23" applyFont="1" applyFill="1" applyBorder="1" applyAlignment="1" applyProtection="1">
      <alignment horizontal="center" vertical="center" wrapText="1"/>
    </xf>
    <xf numFmtId="0" fontId="3" fillId="11" borderId="77" xfId="23" applyFont="1" applyFill="1" applyBorder="1" applyAlignment="1" applyProtection="1">
      <alignment horizontal="center" vertical="center" wrapText="1"/>
    </xf>
    <xf numFmtId="3" fontId="3" fillId="11" borderId="79" xfId="23" applyNumberFormat="1" applyFont="1" applyFill="1" applyBorder="1" applyAlignment="1" applyProtection="1">
      <alignment horizontal="center" vertical="center" wrapText="1"/>
    </xf>
    <xf numFmtId="0" fontId="3" fillId="0" borderId="0" xfId="23" applyFont="1" applyFill="1" applyBorder="1" applyAlignment="1" applyProtection="1">
      <alignment horizontal="center" vertical="center" wrapText="1"/>
    </xf>
    <xf numFmtId="0" fontId="6" fillId="9" borderId="23" xfId="23" applyFont="1" applyFill="1" applyBorder="1" applyAlignment="1" applyProtection="1">
      <alignment horizontal="center"/>
    </xf>
    <xf numFmtId="0" fontId="6" fillId="5" borderId="74" xfId="23" applyFont="1" applyFill="1" applyBorder="1" applyProtection="1"/>
    <xf numFmtId="0" fontId="6" fillId="0" borderId="49" xfId="23" applyFont="1" applyFill="1" applyBorder="1" applyProtection="1"/>
    <xf numFmtId="0" fontId="6" fillId="9" borderId="50" xfId="23" applyFont="1" applyFill="1" applyBorder="1" applyAlignment="1" applyProtection="1">
      <alignment horizontal="center"/>
    </xf>
    <xf numFmtId="0" fontId="6" fillId="5" borderId="53" xfId="23" applyFont="1" applyFill="1" applyBorder="1" applyProtection="1"/>
    <xf numFmtId="0" fontId="6" fillId="0" borderId="57" xfId="23" applyFont="1" applyFill="1" applyBorder="1" applyProtection="1"/>
    <xf numFmtId="0" fontId="6" fillId="9" borderId="71" xfId="23" applyFont="1" applyFill="1" applyBorder="1" applyAlignment="1" applyProtection="1">
      <alignment horizontal="center"/>
    </xf>
    <xf numFmtId="0" fontId="6" fillId="5" borderId="56" xfId="23" applyFont="1" applyFill="1" applyBorder="1" applyProtection="1"/>
    <xf numFmtId="0" fontId="3" fillId="19" borderId="44" xfId="23" applyFont="1" applyFill="1" applyBorder="1" applyAlignment="1" applyProtection="1">
      <alignment vertical="center" wrapText="1"/>
    </xf>
    <xf numFmtId="0" fontId="3" fillId="19" borderId="78" xfId="23" applyFont="1" applyFill="1" applyBorder="1" applyAlignment="1" applyProtection="1">
      <alignment horizontal="center" vertical="center" wrapText="1"/>
    </xf>
    <xf numFmtId="0" fontId="3" fillId="19" borderId="80" xfId="23" applyFont="1" applyFill="1" applyBorder="1" applyAlignment="1" applyProtection="1">
      <alignment horizontal="center" vertical="center" wrapText="1"/>
    </xf>
    <xf numFmtId="3" fontId="3" fillId="19" borderId="79" xfId="23" applyNumberFormat="1" applyFont="1" applyFill="1" applyBorder="1" applyAlignment="1" applyProtection="1">
      <alignment horizontal="center" vertical="center" wrapText="1"/>
    </xf>
    <xf numFmtId="0" fontId="6" fillId="5" borderId="58" xfId="23" applyFont="1" applyFill="1" applyBorder="1" applyProtection="1"/>
    <xf numFmtId="43" fontId="6" fillId="5" borderId="72" xfId="12" applyFont="1" applyFill="1" applyBorder="1" applyProtection="1"/>
    <xf numFmtId="0" fontId="6" fillId="5" borderId="75" xfId="23" applyFont="1" applyFill="1" applyBorder="1" applyProtection="1"/>
    <xf numFmtId="0" fontId="6" fillId="5" borderId="75" xfId="23" applyFont="1" applyFill="1" applyBorder="1" applyAlignment="1" applyProtection="1">
      <alignment vertical="center" wrapText="1"/>
    </xf>
    <xf numFmtId="0" fontId="6" fillId="5" borderId="54" xfId="23" applyFont="1" applyFill="1" applyBorder="1" applyProtection="1"/>
    <xf numFmtId="43" fontId="6" fillId="5" borderId="55" xfId="12" applyFont="1" applyFill="1" applyBorder="1" applyProtection="1"/>
    <xf numFmtId="0" fontId="8" fillId="0" borderId="56" xfId="23" applyBorder="1" applyAlignment="1" applyProtection="1">
      <alignment vertical="center" wrapText="1"/>
    </xf>
    <xf numFmtId="0" fontId="3" fillId="12" borderId="7" xfId="23" applyFont="1" applyFill="1" applyBorder="1" applyAlignment="1" applyProtection="1">
      <alignment vertical="center" wrapText="1"/>
    </xf>
    <xf numFmtId="0" fontId="3" fillId="12" borderId="78" xfId="23" applyFont="1" applyFill="1" applyBorder="1" applyAlignment="1" applyProtection="1">
      <alignment horizontal="center" vertical="center" wrapText="1"/>
    </xf>
    <xf numFmtId="0" fontId="3" fillId="12" borderId="80" xfId="23" applyFont="1" applyFill="1" applyBorder="1" applyAlignment="1" applyProtection="1">
      <alignment horizontal="center" vertical="center" wrapText="1"/>
    </xf>
    <xf numFmtId="3" fontId="3" fillId="12" borderId="79" xfId="23" applyNumberFormat="1" applyFont="1" applyFill="1" applyBorder="1" applyAlignment="1" applyProtection="1">
      <alignment horizontal="center" vertical="center" wrapText="1"/>
    </xf>
    <xf numFmtId="0" fontId="6" fillId="5" borderId="53" xfId="23" applyFont="1" applyFill="1" applyBorder="1" applyAlignment="1" applyProtection="1">
      <alignment horizontal="center"/>
    </xf>
    <xf numFmtId="0" fontId="8" fillId="15" borderId="0" xfId="40" applyFont="1" applyFill="1" applyBorder="1" applyProtection="1"/>
    <xf numFmtId="0" fontId="3" fillId="7" borderId="7" xfId="23" applyFont="1" applyFill="1" applyBorder="1" applyAlignment="1" applyProtection="1">
      <alignment horizontal="left" vertical="center"/>
    </xf>
    <xf numFmtId="0" fontId="3" fillId="7" borderId="8" xfId="23" applyFont="1" applyFill="1" applyBorder="1" applyProtection="1"/>
    <xf numFmtId="0" fontId="6" fillId="7" borderId="8" xfId="23" applyFont="1" applyFill="1" applyBorder="1" applyAlignment="1" applyProtection="1">
      <alignment vertical="center"/>
    </xf>
    <xf numFmtId="164" fontId="3" fillId="7" borderId="9" xfId="40" applyNumberFormat="1" applyFont="1" applyFill="1" applyBorder="1" applyAlignment="1" applyProtection="1">
      <alignment horizontal="center"/>
    </xf>
    <xf numFmtId="164" fontId="3" fillId="0" borderId="0" xfId="40" applyNumberFormat="1" applyFont="1" applyFill="1" applyBorder="1" applyAlignment="1" applyProtection="1">
      <alignment horizontal="center"/>
    </xf>
    <xf numFmtId="0" fontId="3" fillId="0" borderId="0" xfId="40" applyFont="1" applyFill="1" applyBorder="1" applyAlignment="1" applyProtection="1">
      <alignment horizontal="center" vertical="center"/>
    </xf>
    <xf numFmtId="0" fontId="5" fillId="17" borderId="36" xfId="40" applyFont="1" applyFill="1" applyBorder="1" applyAlignment="1" applyProtection="1">
      <alignment horizontal="center" vertical="center" wrapText="1"/>
    </xf>
    <xf numFmtId="0" fontId="5" fillId="17" borderId="10" xfId="40" applyFont="1" applyFill="1" applyBorder="1" applyAlignment="1" applyProtection="1">
      <alignment horizontal="center" vertical="center" wrapText="1"/>
    </xf>
    <xf numFmtId="0" fontId="5" fillId="17" borderId="47" xfId="40" applyFont="1" applyFill="1" applyBorder="1" applyAlignment="1" applyProtection="1">
      <alignment horizontal="center"/>
    </xf>
    <xf numFmtId="3" fontId="5" fillId="17" borderId="62" xfId="40" applyNumberFormat="1" applyFont="1" applyFill="1" applyBorder="1" applyAlignment="1" applyProtection="1">
      <alignment horizontal="center"/>
    </xf>
    <xf numFmtId="3" fontId="5" fillId="0" borderId="0" xfId="40" applyNumberFormat="1" applyFont="1" applyFill="1" applyBorder="1" applyAlignment="1" applyProtection="1">
      <alignment horizontal="center"/>
    </xf>
    <xf numFmtId="0" fontId="3" fillId="0" borderId="42" xfId="40" applyFont="1" applyBorder="1" applyAlignment="1" applyProtection="1">
      <alignment horizontal="left" vertical="center"/>
    </xf>
    <xf numFmtId="0" fontId="6" fillId="0" borderId="19" xfId="40" applyFont="1" applyBorder="1" applyAlignment="1" applyProtection="1">
      <alignment horizontal="left" wrapText="1"/>
    </xf>
    <xf numFmtId="0" fontId="6" fillId="11" borderId="19" xfId="40" applyFont="1" applyFill="1" applyBorder="1" applyProtection="1"/>
    <xf numFmtId="164" fontId="6" fillId="11" borderId="12" xfId="1" applyNumberFormat="1" applyFont="1" applyFill="1" applyBorder="1" applyAlignment="1" applyProtection="1">
      <alignment horizontal="center"/>
    </xf>
    <xf numFmtId="164" fontId="6" fillId="11" borderId="31" xfId="40" applyNumberFormat="1" applyFont="1" applyFill="1" applyBorder="1" applyAlignment="1" applyProtection="1"/>
    <xf numFmtId="1" fontId="6" fillId="0" borderId="31" xfId="40" applyNumberFormat="1" applyFont="1" applyFill="1" applyBorder="1" applyAlignment="1" applyProtection="1">
      <alignment horizontal="center"/>
    </xf>
    <xf numFmtId="164" fontId="6" fillId="0" borderId="38" xfId="40" applyNumberFormat="1" applyFont="1" applyFill="1" applyBorder="1" applyAlignment="1" applyProtection="1">
      <alignment horizontal="center"/>
    </xf>
    <xf numFmtId="164" fontId="6" fillId="0" borderId="0" xfId="40" applyNumberFormat="1" applyFont="1" applyFill="1" applyBorder="1" applyAlignment="1" applyProtection="1">
      <alignment horizontal="center"/>
    </xf>
    <xf numFmtId="0" fontId="6" fillId="0" borderId="0" xfId="40" applyFont="1" applyProtection="1"/>
    <xf numFmtId="0" fontId="5" fillId="17" borderId="33" xfId="40" applyFont="1" applyFill="1" applyBorder="1" applyAlignment="1" applyProtection="1">
      <alignment horizontal="center"/>
    </xf>
    <xf numFmtId="164" fontId="5" fillId="17" borderId="41" xfId="40" applyNumberFormat="1" applyFont="1" applyFill="1" applyBorder="1" applyAlignment="1" applyProtection="1">
      <alignment horizontal="center"/>
    </xf>
    <xf numFmtId="164" fontId="5" fillId="0" borderId="0" xfId="40" applyNumberFormat="1" applyFont="1" applyFill="1" applyBorder="1" applyAlignment="1" applyProtection="1">
      <alignment horizontal="center"/>
    </xf>
    <xf numFmtId="0" fontId="3" fillId="0" borderId="42" xfId="40" applyFont="1" applyBorder="1" applyProtection="1"/>
    <xf numFmtId="0" fontId="27" fillId="11" borderId="19" xfId="40" applyFill="1" applyBorder="1" applyProtection="1"/>
    <xf numFmtId="164" fontId="27" fillId="11" borderId="31" xfId="40" applyNumberFormat="1" applyFill="1" applyBorder="1" applyAlignment="1" applyProtection="1"/>
    <xf numFmtId="0" fontId="6" fillId="0" borderId="31" xfId="40" applyFont="1" applyBorder="1" applyAlignment="1" applyProtection="1">
      <alignment horizontal="center"/>
    </xf>
    <xf numFmtId="165" fontId="6" fillId="0" borderId="0" xfId="40" applyNumberFormat="1" applyFont="1" applyFill="1" applyBorder="1" applyAlignment="1" applyProtection="1">
      <alignment horizontal="center"/>
    </xf>
    <xf numFmtId="0" fontId="3" fillId="7" borderId="44" xfId="40" applyFont="1" applyFill="1" applyBorder="1" applyAlignment="1" applyProtection="1">
      <alignment horizontal="left" vertical="center"/>
    </xf>
    <xf numFmtId="0" fontId="5" fillId="7" borderId="46" xfId="40" applyFont="1" applyFill="1" applyBorder="1" applyAlignment="1" applyProtection="1">
      <alignment horizontal="center"/>
    </xf>
    <xf numFmtId="164" fontId="3" fillId="7" borderId="14" xfId="40" applyNumberFormat="1" applyFont="1" applyFill="1" applyBorder="1" applyAlignment="1" applyProtection="1">
      <alignment horizontal="center" vertical="center"/>
    </xf>
    <xf numFmtId="164" fontId="6" fillId="15" borderId="0" xfId="23" applyNumberFormat="1" applyFont="1" applyFill="1" applyBorder="1" applyProtection="1"/>
    <xf numFmtId="0" fontId="5" fillId="0" borderId="11" xfId="40" applyFont="1" applyFill="1" applyBorder="1" applyAlignment="1" applyProtection="1">
      <alignment horizontal="center" vertical="center" wrapText="1"/>
    </xf>
    <xf numFmtId="0" fontId="5" fillId="0" borderId="16" xfId="40" applyFont="1" applyFill="1" applyBorder="1" applyAlignment="1" applyProtection="1">
      <alignment horizontal="center"/>
    </xf>
    <xf numFmtId="3" fontId="5" fillId="0" borderId="63" xfId="40" applyNumberFormat="1" applyFont="1" applyFill="1" applyBorder="1" applyAlignment="1" applyProtection="1">
      <alignment horizontal="center"/>
    </xf>
    <xf numFmtId="0" fontId="8" fillId="0" borderId="0" xfId="40" applyFont="1" applyFill="1" applyProtection="1"/>
    <xf numFmtId="0" fontId="27" fillId="0" borderId="0" xfId="40" applyFill="1" applyProtection="1"/>
    <xf numFmtId="0" fontId="5" fillId="17" borderId="11" xfId="40" applyFont="1" applyFill="1" applyBorder="1" applyAlignment="1" applyProtection="1">
      <alignment horizontal="center" vertical="center" wrapText="1"/>
    </xf>
    <xf numFmtId="0" fontId="5" fillId="17" borderId="12" xfId="40" applyFont="1" applyFill="1" applyBorder="1" applyAlignment="1" applyProtection="1">
      <alignment horizontal="center"/>
    </xf>
    <xf numFmtId="0" fontId="3" fillId="21" borderId="42" xfId="40" applyFont="1" applyFill="1" applyBorder="1" applyAlignment="1" applyProtection="1">
      <alignment horizontal="left" wrapText="1"/>
    </xf>
    <xf numFmtId="0" fontId="6" fillId="21" borderId="19" xfId="40" applyFont="1" applyFill="1" applyBorder="1" applyAlignment="1" applyProtection="1">
      <alignment horizontal="left" wrapText="1"/>
    </xf>
    <xf numFmtId="0" fontId="27" fillId="21" borderId="19" xfId="40" applyFill="1" applyBorder="1" applyProtection="1"/>
    <xf numFmtId="164" fontId="6" fillId="21" borderId="12" xfId="1" applyNumberFormat="1" applyFont="1" applyFill="1" applyBorder="1" applyAlignment="1" applyProtection="1">
      <alignment horizontal="center"/>
    </xf>
    <xf numFmtId="164" fontId="27" fillId="21" borderId="31" xfId="40" applyNumberFormat="1" applyFill="1" applyBorder="1" applyAlignment="1" applyProtection="1"/>
    <xf numFmtId="0" fontId="6" fillId="21" borderId="31" xfId="40" applyFont="1" applyFill="1" applyBorder="1" applyAlignment="1" applyProtection="1">
      <alignment horizontal="center"/>
    </xf>
    <xf numFmtId="164" fontId="6" fillId="21" borderId="38" xfId="40" applyNumberFormat="1" applyFont="1" applyFill="1" applyBorder="1" applyAlignment="1" applyProtection="1">
      <alignment horizontal="center"/>
    </xf>
    <xf numFmtId="0" fontId="8" fillId="0" borderId="24" xfId="40" applyFont="1" applyFill="1" applyBorder="1" applyAlignment="1" applyProtection="1">
      <alignment horizontal="left" wrapText="1"/>
    </xf>
    <xf numFmtId="0" fontId="27" fillId="0" borderId="24" xfId="40" applyFill="1" applyBorder="1" applyProtection="1"/>
    <xf numFmtId="164" fontId="3" fillId="0" borderId="30" xfId="40" applyNumberFormat="1" applyFont="1" applyFill="1" applyBorder="1" applyAlignment="1" applyProtection="1">
      <alignment horizontal="center"/>
    </xf>
    <xf numFmtId="164" fontId="27" fillId="0" borderId="25" xfId="40" applyNumberFormat="1" applyFill="1" applyBorder="1" applyAlignment="1" applyProtection="1"/>
    <xf numFmtId="0" fontId="6" fillId="0" borderId="25" xfId="40" applyFont="1" applyFill="1" applyBorder="1" applyAlignment="1" applyProtection="1">
      <alignment horizontal="center"/>
    </xf>
    <xf numFmtId="164" fontId="6" fillId="0" borderId="41" xfId="40" applyNumberFormat="1" applyFont="1" applyFill="1" applyBorder="1" applyAlignment="1" applyProtection="1">
      <alignment horizontal="center"/>
    </xf>
    <xf numFmtId="0" fontId="5" fillId="17" borderId="44" xfId="40" applyFont="1" applyFill="1" applyBorder="1" applyAlignment="1" applyProtection="1">
      <alignment horizontal="center" vertical="center" wrapText="1"/>
    </xf>
    <xf numFmtId="0" fontId="5" fillId="17" borderId="69" xfId="40" applyFont="1" applyFill="1" applyBorder="1" applyAlignment="1" applyProtection="1">
      <alignment horizontal="center" vertical="center" wrapText="1"/>
    </xf>
    <xf numFmtId="0" fontId="27" fillId="17" borderId="69" xfId="40" applyFill="1" applyBorder="1" applyAlignment="1" applyProtection="1">
      <alignment horizontal="center"/>
    </xf>
    <xf numFmtId="164" fontId="5" fillId="17" borderId="67" xfId="40" applyNumberFormat="1" applyFont="1" applyFill="1" applyBorder="1" applyAlignment="1" applyProtection="1">
      <alignment horizontal="center"/>
    </xf>
    <xf numFmtId="164" fontId="6" fillId="0" borderId="0" xfId="23" applyNumberFormat="1" applyFont="1" applyFill="1" applyBorder="1" applyProtection="1"/>
    <xf numFmtId="0" fontId="3" fillId="0" borderId="0" xfId="40" applyFont="1" applyFill="1" applyBorder="1" applyProtection="1"/>
    <xf numFmtId="164" fontId="5" fillId="0" borderId="0" xfId="40" applyNumberFormat="1" applyFont="1" applyFill="1" applyBorder="1" applyProtection="1"/>
    <xf numFmtId="0" fontId="5" fillId="0" borderId="0" xfId="40" applyFont="1" applyFill="1" applyBorder="1" applyProtection="1"/>
    <xf numFmtId="164" fontId="5" fillId="0" borderId="0" xfId="40" applyNumberFormat="1" applyFont="1" applyFill="1" applyBorder="1" applyAlignment="1" applyProtection="1"/>
    <xf numFmtId="0" fontId="5" fillId="0" borderId="0" xfId="40" applyFont="1" applyFill="1" applyBorder="1" applyAlignment="1" applyProtection="1">
      <alignment horizontal="center"/>
    </xf>
    <xf numFmtId="3" fontId="27" fillId="0" borderId="0" xfId="40" applyNumberFormat="1" applyBorder="1" applyProtection="1"/>
    <xf numFmtId="0" fontId="5" fillId="0" borderId="12" xfId="40" applyFont="1" applyBorder="1" applyAlignment="1" applyProtection="1">
      <alignment horizontal="center" vertical="center" wrapText="1"/>
    </xf>
    <xf numFmtId="0" fontId="8" fillId="0" borderId="0" xfId="40" applyFont="1" applyAlignment="1" applyProtection="1">
      <alignment wrapText="1"/>
    </xf>
    <xf numFmtId="0" fontId="27" fillId="0" borderId="0" xfId="40" applyAlignment="1" applyProtection="1">
      <alignment wrapText="1"/>
    </xf>
    <xf numFmtId="0" fontId="6" fillId="0" borderId="20" xfId="40" applyFont="1" applyBorder="1" applyProtection="1"/>
    <xf numFmtId="164" fontId="6" fillId="11" borderId="12" xfId="40" applyNumberFormat="1" applyFont="1" applyFill="1" applyBorder="1" applyAlignment="1" applyProtection="1">
      <alignment horizontal="center"/>
    </xf>
    <xf numFmtId="3" fontId="6" fillId="0" borderId="31" xfId="40" applyNumberFormat="1" applyFont="1" applyFill="1" applyBorder="1" applyAlignment="1" applyProtection="1">
      <alignment horizontal="center"/>
    </xf>
    <xf numFmtId="164" fontId="6" fillId="0" borderId="20" xfId="40" applyNumberFormat="1" applyFont="1" applyFill="1" applyBorder="1" applyAlignment="1" applyProtection="1">
      <alignment horizontal="center"/>
    </xf>
    <xf numFmtId="10" fontId="6" fillId="22" borderId="60" xfId="40" applyNumberFormat="1" applyFont="1" applyFill="1" applyBorder="1" applyAlignment="1" applyProtection="1">
      <alignment horizontal="center"/>
    </xf>
    <xf numFmtId="3" fontId="6" fillId="22" borderId="64" xfId="40" applyNumberFormat="1" applyFont="1" applyFill="1" applyBorder="1" applyAlignment="1" applyProtection="1">
      <alignment horizontal="center"/>
    </xf>
    <xf numFmtId="0" fontId="28" fillId="18" borderId="3" xfId="40" applyFont="1" applyFill="1" applyBorder="1" applyProtection="1"/>
    <xf numFmtId="0" fontId="29" fillId="18" borderId="0" xfId="40" applyFont="1" applyFill="1" applyBorder="1" applyProtection="1"/>
    <xf numFmtId="165" fontId="29" fillId="18" borderId="0" xfId="40" applyNumberFormat="1" applyFont="1" applyFill="1" applyBorder="1" applyAlignment="1" applyProtection="1">
      <alignment horizontal="center"/>
    </xf>
    <xf numFmtId="165" fontId="3" fillId="18" borderId="0" xfId="40" applyNumberFormat="1" applyFont="1" applyFill="1" applyBorder="1" applyAlignment="1" applyProtection="1">
      <alignment horizontal="center"/>
    </xf>
    <xf numFmtId="3" fontId="3" fillId="18" borderId="0" xfId="40" applyNumberFormat="1" applyFont="1" applyFill="1" applyBorder="1" applyAlignment="1" applyProtection="1">
      <alignment horizontal="center"/>
    </xf>
    <xf numFmtId="164" fontId="3" fillId="18" borderId="0" xfId="40" applyNumberFormat="1" applyFont="1" applyFill="1" applyBorder="1" applyAlignment="1" applyProtection="1">
      <alignment horizontal="center"/>
    </xf>
    <xf numFmtId="164" fontId="3" fillId="22" borderId="4" xfId="40" applyNumberFormat="1" applyFont="1" applyFill="1" applyBorder="1" applyAlignment="1" applyProtection="1">
      <alignment horizontal="center"/>
    </xf>
    <xf numFmtId="0" fontId="8" fillId="18" borderId="0" xfId="40" applyFont="1" applyFill="1" applyProtection="1"/>
    <xf numFmtId="0" fontId="5" fillId="17" borderId="39" xfId="40" applyFont="1" applyFill="1" applyBorder="1" applyAlignment="1" applyProtection="1">
      <alignment horizontal="center" vertical="center" wrapText="1"/>
    </xf>
    <xf numFmtId="165" fontId="5" fillId="0" borderId="16" xfId="40" applyNumberFormat="1" applyFont="1" applyBorder="1" applyAlignment="1" applyProtection="1">
      <alignment horizontal="center" wrapText="1"/>
    </xf>
    <xf numFmtId="0" fontId="5" fillId="0" borderId="16" xfId="40" applyFont="1" applyBorder="1" applyAlignment="1" applyProtection="1">
      <alignment horizontal="center" wrapText="1"/>
    </xf>
    <xf numFmtId="3" fontId="5" fillId="0" borderId="18" xfId="40" applyNumberFormat="1" applyFont="1" applyBorder="1" applyAlignment="1" applyProtection="1">
      <alignment horizontal="center"/>
    </xf>
    <xf numFmtId="0" fontId="8" fillId="0" borderId="0" xfId="40" applyFont="1" applyFill="1" applyBorder="1" applyProtection="1"/>
    <xf numFmtId="0" fontId="6" fillId="0" borderId="31" xfId="40" applyFont="1" applyBorder="1" applyAlignment="1" applyProtection="1">
      <alignment horizontal="left"/>
    </xf>
    <xf numFmtId="164" fontId="27" fillId="11" borderId="12" xfId="40" applyNumberFormat="1" applyFill="1" applyBorder="1" applyAlignment="1" applyProtection="1">
      <alignment horizontal="right" wrapText="1"/>
    </xf>
    <xf numFmtId="1" fontId="8" fillId="0" borderId="12" xfId="40" applyNumberFormat="1" applyFont="1" applyFill="1" applyBorder="1" applyAlignment="1" applyProtection="1">
      <alignment horizontal="center"/>
    </xf>
    <xf numFmtId="3" fontId="27" fillId="0" borderId="19" xfId="40" applyNumberFormat="1" applyBorder="1" applyAlignment="1" applyProtection="1">
      <alignment horizontal="center"/>
    </xf>
    <xf numFmtId="3" fontId="27" fillId="22" borderId="60" xfId="40" applyNumberFormat="1" applyFill="1" applyBorder="1" applyAlignment="1" applyProtection="1">
      <alignment horizontal="center"/>
    </xf>
    <xf numFmtId="3" fontId="27" fillId="22" borderId="38" xfId="40" applyNumberFormat="1" applyFill="1" applyBorder="1" applyAlignment="1" applyProtection="1">
      <alignment horizontal="center"/>
    </xf>
    <xf numFmtId="0" fontId="6" fillId="0" borderId="31" xfId="40" applyFont="1" applyFill="1" applyBorder="1" applyAlignment="1" applyProtection="1">
      <alignment horizontal="left"/>
    </xf>
    <xf numFmtId="164" fontId="6" fillId="0" borderId="19" xfId="40" applyNumberFormat="1" applyFont="1" applyBorder="1" applyAlignment="1" applyProtection="1">
      <alignment horizontal="center"/>
    </xf>
    <xf numFmtId="0" fontId="6" fillId="0" borderId="31" xfId="40" applyFont="1" applyBorder="1" applyAlignment="1" applyProtection="1">
      <alignment horizontal="left" wrapText="1"/>
    </xf>
    <xf numFmtId="0" fontId="30" fillId="18" borderId="3" xfId="40" applyFont="1" applyFill="1" applyBorder="1" applyProtection="1"/>
    <xf numFmtId="0" fontId="31" fillId="18" borderId="0" xfId="40" applyFont="1" applyFill="1" applyBorder="1" applyProtection="1"/>
    <xf numFmtId="165" fontId="31" fillId="18" borderId="0" xfId="40" applyNumberFormat="1" applyFont="1" applyFill="1" applyBorder="1" applyProtection="1"/>
    <xf numFmtId="164" fontId="3" fillId="22" borderId="15" xfId="40" applyNumberFormat="1" applyFont="1" applyFill="1" applyBorder="1" applyAlignment="1" applyProtection="1">
      <alignment horizontal="center"/>
    </xf>
    <xf numFmtId="3" fontId="3" fillId="22" borderId="4" xfId="40" applyNumberFormat="1" applyFont="1" applyFill="1" applyBorder="1" applyAlignment="1" applyProtection="1">
      <alignment horizontal="center"/>
    </xf>
    <xf numFmtId="0" fontId="5" fillId="17" borderId="33" xfId="40" applyFont="1" applyFill="1" applyBorder="1" applyAlignment="1" applyProtection="1">
      <alignment horizontal="center" wrapText="1"/>
    </xf>
    <xf numFmtId="164" fontId="5" fillId="17" borderId="24" xfId="40" applyNumberFormat="1" applyFont="1" applyFill="1" applyBorder="1" applyAlignment="1" applyProtection="1">
      <alignment horizontal="center"/>
    </xf>
    <xf numFmtId="3" fontId="5" fillId="22" borderId="59" xfId="40" applyNumberFormat="1" applyFont="1" applyFill="1" applyBorder="1" applyAlignment="1" applyProtection="1">
      <alignment horizontal="center"/>
    </xf>
    <xf numFmtId="3" fontId="5" fillId="22" borderId="41" xfId="40" applyNumberFormat="1" applyFont="1" applyFill="1" applyBorder="1" applyAlignment="1" applyProtection="1">
      <alignment horizontal="center"/>
    </xf>
    <xf numFmtId="0" fontId="6" fillId="0" borderId="19" xfId="40" applyFont="1" applyBorder="1" applyAlignment="1" applyProtection="1">
      <alignment horizontal="center" wrapText="1"/>
    </xf>
    <xf numFmtId="164" fontId="6" fillId="11" borderId="20" xfId="40" applyNumberFormat="1" applyFont="1" applyFill="1" applyBorder="1" applyAlignment="1" applyProtection="1">
      <alignment horizontal="center"/>
    </xf>
    <xf numFmtId="0" fontId="3" fillId="17" borderId="36" xfId="40" applyFont="1" applyFill="1" applyBorder="1" applyAlignment="1" applyProtection="1">
      <alignment horizontal="center" vertical="center" wrapText="1"/>
    </xf>
    <xf numFmtId="0" fontId="3" fillId="17" borderId="10" xfId="40" applyFont="1" applyFill="1" applyBorder="1" applyAlignment="1" applyProtection="1">
      <alignment horizontal="center" vertical="center" wrapText="1"/>
    </xf>
    <xf numFmtId="3" fontId="5" fillId="17" borderId="12" xfId="40" applyNumberFormat="1" applyFont="1" applyFill="1" applyBorder="1" applyAlignment="1" applyProtection="1">
      <alignment horizontal="center" wrapText="1"/>
    </xf>
    <xf numFmtId="0" fontId="3" fillId="0" borderId="37" xfId="40" applyFont="1" applyBorder="1" applyAlignment="1" applyProtection="1">
      <alignment vertical="center" wrapText="1"/>
    </xf>
    <xf numFmtId="0" fontId="6" fillId="0" borderId="20" xfId="40" applyFont="1" applyBorder="1" applyAlignment="1" applyProtection="1">
      <alignment horizontal="center" wrapText="1"/>
    </xf>
    <xf numFmtId="3" fontId="8" fillId="0" borderId="0" xfId="40" applyNumberFormat="1" applyFont="1" applyProtection="1"/>
    <xf numFmtId="0" fontId="5" fillId="17" borderId="12" xfId="40" applyFont="1" applyFill="1" applyBorder="1" applyAlignment="1" applyProtection="1">
      <alignment horizontal="center" wrapText="1"/>
    </xf>
    <xf numFmtId="0" fontId="6" fillId="0" borderId="20" xfId="40" applyFont="1" applyBorder="1" applyAlignment="1" applyProtection="1">
      <alignment horizontal="center" vertical="center" wrapText="1"/>
    </xf>
    <xf numFmtId="0" fontId="27" fillId="11" borderId="31" xfId="40" applyNumberFormat="1" applyFill="1" applyBorder="1" applyAlignment="1" applyProtection="1"/>
    <xf numFmtId="164" fontId="6" fillId="0" borderId="19" xfId="40" applyNumberFormat="1" applyFont="1" applyFill="1" applyBorder="1" applyAlignment="1" applyProtection="1">
      <alignment horizontal="center"/>
    </xf>
    <xf numFmtId="164" fontId="6" fillId="22" borderId="60" xfId="40" applyNumberFormat="1" applyFont="1" applyFill="1" applyBorder="1" applyAlignment="1" applyProtection="1">
      <alignment horizontal="center"/>
    </xf>
    <xf numFmtId="164" fontId="6" fillId="22" borderId="38" xfId="40" applyNumberFormat="1" applyFont="1" applyFill="1" applyBorder="1" applyAlignment="1" applyProtection="1">
      <alignment horizontal="center"/>
    </xf>
    <xf numFmtId="0" fontId="27" fillId="0" borderId="19" xfId="40" applyBorder="1" applyAlignment="1" applyProtection="1">
      <alignment horizontal="left" wrapText="1"/>
    </xf>
    <xf numFmtId="165" fontId="6" fillId="22" borderId="60" xfId="40" applyNumberFormat="1" applyFont="1" applyFill="1" applyBorder="1" applyAlignment="1" applyProtection="1">
      <alignment horizontal="center"/>
    </xf>
    <xf numFmtId="165" fontId="6" fillId="22" borderId="38" xfId="40" applyNumberFormat="1" applyFont="1" applyFill="1" applyBorder="1" applyAlignment="1" applyProtection="1">
      <alignment horizontal="center"/>
    </xf>
    <xf numFmtId="0" fontId="8" fillId="0" borderId="19" xfId="40" applyFont="1" applyBorder="1" applyAlignment="1" applyProtection="1">
      <alignment horizontal="left" wrapText="1"/>
    </xf>
    <xf numFmtId="0" fontId="3" fillId="7" borderId="44" xfId="40" applyFont="1" applyFill="1" applyBorder="1" applyProtection="1"/>
    <xf numFmtId="0" fontId="5" fillId="7" borderId="45" xfId="40" applyFont="1" applyFill="1" applyBorder="1" applyProtection="1"/>
    <xf numFmtId="0" fontId="3" fillId="7" borderId="8" xfId="40" applyNumberFormat="1" applyFont="1" applyFill="1" applyBorder="1" applyAlignment="1" applyProtection="1">
      <alignment horizontal="center"/>
    </xf>
    <xf numFmtId="164" fontId="5" fillId="7" borderId="46" xfId="40" applyNumberFormat="1" applyFont="1" applyFill="1" applyBorder="1" applyAlignment="1" applyProtection="1"/>
    <xf numFmtId="164" fontId="5" fillId="7" borderId="46" xfId="40" applyNumberFormat="1" applyFont="1" applyFill="1" applyBorder="1" applyAlignment="1" applyProtection="1">
      <alignment horizontal="center"/>
    </xf>
    <xf numFmtId="164" fontId="3" fillId="7" borderId="8" xfId="40" applyNumberFormat="1" applyFont="1" applyFill="1" applyBorder="1" applyAlignment="1" applyProtection="1">
      <alignment horizontal="center"/>
    </xf>
    <xf numFmtId="10" fontId="3" fillId="22" borderId="9" xfId="40" applyNumberFormat="1" applyFont="1" applyFill="1" applyBorder="1" applyAlignment="1" applyProtection="1">
      <alignment horizontal="center"/>
    </xf>
    <xf numFmtId="0" fontId="8" fillId="0" borderId="30" xfId="40" applyFont="1" applyBorder="1" applyProtection="1"/>
    <xf numFmtId="164" fontId="27" fillId="0" borderId="30" xfId="40" applyNumberFormat="1" applyBorder="1" applyProtection="1"/>
    <xf numFmtId="3" fontId="27" fillId="0" borderId="30" xfId="40" applyNumberFormat="1" applyFill="1" applyBorder="1" applyProtection="1"/>
    <xf numFmtId="3" fontId="27" fillId="0" borderId="2" xfId="40" applyNumberFormat="1" applyFill="1" applyBorder="1" applyProtection="1"/>
    <xf numFmtId="0" fontId="6" fillId="0" borderId="3" xfId="40" applyFont="1" applyBorder="1" applyProtection="1"/>
    <xf numFmtId="164" fontId="27" fillId="0" borderId="0" xfId="40" applyNumberFormat="1" applyBorder="1" applyProtection="1"/>
    <xf numFmtId="3" fontId="27" fillId="0" borderId="4" xfId="40" applyNumberFormat="1" applyFill="1" applyBorder="1" applyProtection="1"/>
    <xf numFmtId="164" fontId="5" fillId="17" borderId="12" xfId="40" applyNumberFormat="1" applyFont="1" applyFill="1" applyBorder="1" applyAlignment="1" applyProtection="1">
      <alignment horizontal="center"/>
    </xf>
    <xf numFmtId="165" fontId="5" fillId="0" borderId="4" xfId="40" applyNumberFormat="1" applyFont="1" applyFill="1" applyBorder="1" applyAlignment="1" applyProtection="1">
      <alignment horizontal="center"/>
    </xf>
    <xf numFmtId="164" fontId="6" fillId="0" borderId="12" xfId="40" applyNumberFormat="1" applyFont="1" applyFill="1" applyBorder="1" applyAlignment="1" applyProtection="1">
      <alignment horizontal="center"/>
    </xf>
    <xf numFmtId="164" fontId="6" fillId="0" borderId="4" xfId="40" applyNumberFormat="1" applyFont="1" applyFill="1" applyBorder="1" applyAlignment="1" applyProtection="1">
      <alignment horizontal="center"/>
    </xf>
    <xf numFmtId="0" fontId="5" fillId="0" borderId="3" xfId="40" applyFont="1" applyBorder="1" applyAlignment="1" applyProtection="1">
      <alignment horizontal="left" vertical="center"/>
    </xf>
    <xf numFmtId="0" fontId="27" fillId="0" borderId="0" xfId="40" applyFill="1" applyBorder="1" applyProtection="1"/>
    <xf numFmtId="164" fontId="27" fillId="0" borderId="0" xfId="40" applyNumberFormat="1" applyFill="1" applyBorder="1" applyAlignment="1" applyProtection="1"/>
    <xf numFmtId="1" fontId="6" fillId="0" borderId="0" xfId="40" applyNumberFormat="1" applyFont="1" applyFill="1" applyBorder="1" applyAlignment="1" applyProtection="1">
      <alignment horizontal="center"/>
    </xf>
    <xf numFmtId="0" fontId="5" fillId="17" borderId="42" xfId="40" applyFont="1" applyFill="1" applyBorder="1" applyAlignment="1" applyProtection="1">
      <alignment horizontal="center" vertical="center" wrapText="1"/>
    </xf>
    <xf numFmtId="0" fontId="5" fillId="17" borderId="12" xfId="40" applyFont="1" applyFill="1" applyBorder="1" applyAlignment="1" applyProtection="1">
      <alignment horizontal="center" vertical="center" wrapText="1"/>
    </xf>
    <xf numFmtId="165" fontId="6" fillId="0" borderId="4" xfId="40" applyNumberFormat="1" applyFont="1" applyFill="1" applyBorder="1" applyAlignment="1" applyProtection="1">
      <alignment horizontal="center"/>
    </xf>
    <xf numFmtId="0" fontId="8" fillId="15" borderId="0" xfId="23" applyFont="1" applyFill="1" applyProtection="1"/>
    <xf numFmtId="164" fontId="8" fillId="0" borderId="0" xfId="40" applyNumberFormat="1" applyFont="1" applyProtection="1"/>
    <xf numFmtId="0" fontId="5" fillId="0" borderId="3" xfId="40" applyFont="1" applyFill="1" applyBorder="1" applyAlignment="1" applyProtection="1">
      <alignment horizontal="center" vertical="center" wrapText="1"/>
    </xf>
    <xf numFmtId="0" fontId="5" fillId="0" borderId="0" xfId="40" applyFont="1" applyFill="1" applyBorder="1" applyAlignment="1" applyProtection="1">
      <alignment horizontal="center" vertical="center" wrapText="1"/>
    </xf>
    <xf numFmtId="3" fontId="3" fillId="23" borderId="8" xfId="1" applyNumberFormat="1" applyFont="1" applyFill="1" applyBorder="1" applyAlignment="1" applyProtection="1">
      <alignment horizontal="center"/>
    </xf>
    <xf numFmtId="0" fontId="3" fillId="18" borderId="3" xfId="40" applyFont="1" applyFill="1" applyBorder="1" applyProtection="1"/>
    <xf numFmtId="164" fontId="6" fillId="18" borderId="0" xfId="40" applyNumberFormat="1" applyFont="1" applyFill="1" applyBorder="1" applyAlignment="1" applyProtection="1"/>
    <xf numFmtId="0" fontId="6" fillId="18" borderId="0" xfId="40" applyFont="1" applyFill="1" applyBorder="1" applyAlignment="1" applyProtection="1">
      <alignment horizontal="center"/>
    </xf>
    <xf numFmtId="3" fontId="32" fillId="18" borderId="0" xfId="40" applyNumberFormat="1" applyFont="1" applyFill="1" applyBorder="1" applyAlignment="1" applyProtection="1">
      <alignment horizontal="center"/>
    </xf>
    <xf numFmtId="3" fontId="32" fillId="18" borderId="4" xfId="40" applyNumberFormat="1" applyFont="1" applyFill="1" applyBorder="1" applyAlignment="1" applyProtection="1">
      <alignment horizontal="center"/>
    </xf>
    <xf numFmtId="3" fontId="3" fillId="6" borderId="8" xfId="40" applyNumberFormat="1" applyFont="1" applyFill="1" applyBorder="1" applyAlignment="1" applyProtection="1">
      <alignment horizontal="center"/>
    </xf>
    <xf numFmtId="0" fontId="5" fillId="17" borderId="37" xfId="40" applyFont="1" applyFill="1" applyBorder="1" applyAlignment="1" applyProtection="1">
      <alignment horizontal="center" vertical="center" wrapText="1"/>
    </xf>
    <xf numFmtId="3" fontId="5" fillId="17" borderId="33" xfId="40" applyNumberFormat="1" applyFont="1" applyFill="1" applyBorder="1" applyAlignment="1" applyProtection="1">
      <alignment horizontal="center"/>
    </xf>
    <xf numFmtId="0" fontId="5" fillId="0" borderId="5" xfId="40" applyFont="1" applyBorder="1" applyAlignment="1" applyProtection="1">
      <alignment horizontal="left" vertical="center"/>
    </xf>
    <xf numFmtId="0" fontId="27" fillId="0" borderId="13" xfId="40" applyBorder="1" applyAlignment="1" applyProtection="1">
      <alignment horizontal="left" wrapText="1"/>
    </xf>
    <xf numFmtId="0" fontId="27" fillId="0" borderId="13" xfId="40" applyFill="1" applyBorder="1" applyProtection="1"/>
    <xf numFmtId="164" fontId="6" fillId="0" borderId="13" xfId="40" applyNumberFormat="1" applyFont="1" applyFill="1" applyBorder="1" applyAlignment="1" applyProtection="1">
      <alignment horizontal="center"/>
    </xf>
    <xf numFmtId="164" fontId="27" fillId="0" borderId="13" xfId="40" applyNumberFormat="1" applyFill="1" applyBorder="1" applyAlignment="1" applyProtection="1"/>
    <xf numFmtId="1" fontId="6" fillId="0" borderId="13" xfId="40" applyNumberFormat="1" applyFont="1" applyFill="1" applyBorder="1" applyAlignment="1" applyProtection="1">
      <alignment horizontal="center"/>
    </xf>
    <xf numFmtId="3" fontId="6" fillId="0" borderId="13" xfId="40" applyNumberFormat="1" applyFont="1" applyFill="1" applyBorder="1" applyAlignment="1" applyProtection="1">
      <alignment horizontal="center"/>
    </xf>
    <xf numFmtId="164" fontId="6" fillId="0" borderId="6" xfId="40" applyNumberFormat="1" applyFont="1" applyFill="1" applyBorder="1" applyAlignment="1" applyProtection="1">
      <alignment horizontal="center"/>
    </xf>
    <xf numFmtId="3" fontId="27" fillId="0" borderId="0" xfId="40" applyNumberFormat="1" applyFill="1" applyProtection="1"/>
    <xf numFmtId="3" fontId="27" fillId="0" borderId="0" xfId="40" applyNumberFormat="1" applyProtection="1"/>
    <xf numFmtId="3" fontId="5" fillId="22" borderId="66" xfId="40" applyNumberFormat="1" applyFont="1" applyFill="1" applyBorder="1" applyAlignment="1" applyProtection="1">
      <alignment horizontal="center" wrapText="1"/>
    </xf>
    <xf numFmtId="0" fontId="8" fillId="17" borderId="38" xfId="1" applyFont="1" applyFill="1" applyBorder="1" applyAlignment="1" applyProtection="1">
      <alignment wrapText="1"/>
    </xf>
    <xf numFmtId="3" fontId="5" fillId="22" borderId="81" xfId="40" applyNumberFormat="1" applyFont="1" applyFill="1" applyBorder="1" applyAlignment="1" applyProtection="1">
      <alignment horizontal="center" wrapText="1"/>
    </xf>
    <xf numFmtId="0" fontId="3" fillId="0" borderId="3" xfId="40" applyFont="1" applyFill="1" applyBorder="1" applyProtection="1"/>
    <xf numFmtId="164" fontId="3" fillId="22" borderId="31" xfId="40" applyNumberFormat="1" applyFont="1" applyFill="1" applyBorder="1" applyAlignment="1" applyProtection="1">
      <alignment horizontal="center"/>
    </xf>
    <xf numFmtId="0" fontId="5" fillId="0" borderId="33" xfId="40" applyFont="1" applyBorder="1" applyAlignment="1" applyProtection="1">
      <alignment horizontal="center" vertical="center" wrapText="1"/>
    </xf>
    <xf numFmtId="164" fontId="6" fillId="11" borderId="33" xfId="40" applyNumberFormat="1" applyFont="1" applyFill="1" applyBorder="1" applyAlignment="1" applyProtection="1">
      <alignment horizontal="center"/>
    </xf>
    <xf numFmtId="3" fontId="6" fillId="0" borderId="25" xfId="40" applyNumberFormat="1" applyFont="1" applyFill="1" applyBorder="1" applyAlignment="1" applyProtection="1">
      <alignment horizontal="center"/>
    </xf>
    <xf numFmtId="0" fontId="28" fillId="18" borderId="7" xfId="40" applyFont="1" applyFill="1" applyBorder="1" applyProtection="1"/>
    <xf numFmtId="165" fontId="29" fillId="18" borderId="8" xfId="40" applyNumberFormat="1" applyFont="1" applyFill="1" applyBorder="1" applyAlignment="1" applyProtection="1">
      <alignment horizontal="center"/>
    </xf>
    <xf numFmtId="165" fontId="3" fillId="18" borderId="8" xfId="40" applyNumberFormat="1" applyFont="1" applyFill="1" applyBorder="1" applyAlignment="1" applyProtection="1">
      <alignment horizontal="center"/>
    </xf>
    <xf numFmtId="3" fontId="3" fillId="18" borderId="8" xfId="40" applyNumberFormat="1" applyFont="1" applyFill="1" applyBorder="1" applyAlignment="1" applyProtection="1">
      <alignment horizontal="center"/>
    </xf>
    <xf numFmtId="164" fontId="3" fillId="18" borderId="6" xfId="40" applyNumberFormat="1" applyFont="1" applyFill="1" applyBorder="1" applyAlignment="1" applyProtection="1">
      <alignment horizontal="center"/>
    </xf>
    <xf numFmtId="165" fontId="5" fillId="17" borderId="19" xfId="40" applyNumberFormat="1" applyFont="1" applyFill="1" applyBorder="1" applyAlignment="1" applyProtection="1"/>
    <xf numFmtId="165" fontId="5" fillId="17" borderId="31" xfId="40" applyNumberFormat="1" applyFont="1" applyFill="1" applyBorder="1" applyAlignment="1" applyProtection="1"/>
    <xf numFmtId="0" fontId="3" fillId="0" borderId="37" xfId="40" applyFont="1" applyFill="1" applyBorder="1" applyAlignment="1" applyProtection="1">
      <alignment vertical="center" wrapText="1"/>
    </xf>
    <xf numFmtId="0" fontId="3" fillId="0" borderId="43" xfId="40" applyFont="1" applyFill="1" applyBorder="1" applyAlignment="1" applyProtection="1">
      <alignment vertical="center" wrapText="1"/>
    </xf>
    <xf numFmtId="3" fontId="5" fillId="22" borderId="59" xfId="40" applyNumberFormat="1" applyFont="1" applyFill="1" applyBorder="1" applyAlignment="1" applyProtection="1">
      <alignment wrapText="1"/>
    </xf>
    <xf numFmtId="3" fontId="5" fillId="22" borderId="57" xfId="40" applyNumberFormat="1" applyFont="1" applyFill="1" applyBorder="1" applyAlignment="1" applyProtection="1">
      <alignment horizontal="center"/>
    </xf>
    <xf numFmtId="3" fontId="3" fillId="22" borderId="9" xfId="40" applyNumberFormat="1" applyFont="1" applyFill="1" applyBorder="1" applyAlignment="1" applyProtection="1">
      <alignment horizontal="center"/>
    </xf>
    <xf numFmtId="165" fontId="13" fillId="28" borderId="12" xfId="1" applyNumberFormat="1" applyFont="1" applyFill="1" applyBorder="1" applyAlignment="1" applyProtection="1">
      <alignment vertical="center"/>
      <protection locked="0"/>
    </xf>
    <xf numFmtId="165" fontId="13" fillId="28" borderId="12" xfId="12" applyNumberFormat="1" applyFont="1" applyFill="1" applyBorder="1" applyAlignment="1" applyProtection="1">
      <alignment horizontal="right" vertical="center"/>
      <protection locked="0"/>
    </xf>
    <xf numFmtId="0" fontId="0" fillId="0" borderId="0" xfId="0" applyAlignment="1">
      <alignment horizontal="center"/>
    </xf>
    <xf numFmtId="0" fontId="8" fillId="6" borderId="0" xfId="0" applyNumberFormat="1" applyFont="1" applyFill="1" applyBorder="1"/>
    <xf numFmtId="0" fontId="5" fillId="0" borderId="0" xfId="0" applyNumberFormat="1" applyFont="1" applyFill="1" applyBorder="1"/>
    <xf numFmtId="3" fontId="0" fillId="0" borderId="3" xfId="0" applyNumberFormat="1" applyFill="1" applyBorder="1"/>
    <xf numFmtId="164" fontId="3" fillId="0" borderId="9" xfId="40" applyNumberFormat="1" applyFont="1" applyFill="1" applyBorder="1" applyAlignment="1">
      <alignment horizontal="center" vertical="center"/>
    </xf>
    <xf numFmtId="0" fontId="8" fillId="17" borderId="60" xfId="1" applyFont="1" applyFill="1" applyBorder="1" applyAlignment="1" applyProtection="1">
      <alignment wrapText="1"/>
    </xf>
    <xf numFmtId="164" fontId="3" fillId="22" borderId="38" xfId="40" applyNumberFormat="1" applyFont="1" applyFill="1" applyBorder="1" applyAlignment="1" applyProtection="1">
      <alignment horizontal="center"/>
    </xf>
    <xf numFmtId="3" fontId="5" fillId="22" borderId="41" xfId="40" applyNumberFormat="1" applyFont="1" applyFill="1" applyBorder="1" applyAlignment="1" applyProtection="1">
      <alignment wrapText="1"/>
    </xf>
    <xf numFmtId="0" fontId="5" fillId="0" borderId="40" xfId="40" applyFont="1" applyFill="1" applyBorder="1" applyAlignment="1" applyProtection="1">
      <alignment horizontal="center" vertical="center" wrapText="1"/>
    </xf>
    <xf numFmtId="0" fontId="5" fillId="17" borderId="40" xfId="40" applyFont="1" applyFill="1" applyBorder="1" applyAlignment="1" applyProtection="1">
      <alignment horizontal="center" vertical="center" wrapText="1"/>
    </xf>
    <xf numFmtId="3" fontId="5" fillId="17" borderId="38" xfId="40" applyNumberFormat="1" applyFont="1" applyFill="1" applyBorder="1" applyAlignment="1" applyProtection="1">
      <alignment horizontal="center"/>
    </xf>
    <xf numFmtId="164" fontId="3" fillId="0" borderId="1" xfId="40" applyNumberFormat="1" applyFont="1" applyFill="1" applyBorder="1" applyAlignment="1" applyProtection="1">
      <alignment horizontal="left"/>
    </xf>
    <xf numFmtId="0" fontId="6" fillId="0" borderId="48" xfId="23" applyFont="1" applyBorder="1" applyAlignment="1" applyProtection="1">
      <alignment horizontal="left" wrapText="1"/>
    </xf>
    <xf numFmtId="0" fontId="5" fillId="0" borderId="0" xfId="40" applyNumberFormat="1" applyFont="1" applyFill="1" applyBorder="1" applyAlignment="1" applyProtection="1">
      <alignment horizontal="center"/>
    </xf>
    <xf numFmtId="0" fontId="5" fillId="30" borderId="9" xfId="40" applyNumberFormat="1" applyFont="1" applyFill="1" applyBorder="1" applyAlignment="1" applyProtection="1">
      <alignment horizontal="center"/>
    </xf>
    <xf numFmtId="0" fontId="3" fillId="30" borderId="9" xfId="40" applyNumberFormat="1" applyFont="1" applyFill="1" applyBorder="1" applyAlignment="1" applyProtection="1">
      <alignment horizontal="center"/>
    </xf>
    <xf numFmtId="3" fontId="5" fillId="0" borderId="27" xfId="40" applyNumberFormat="1" applyFont="1" applyBorder="1" applyAlignment="1" applyProtection="1">
      <alignment horizontal="center" wrapText="1"/>
    </xf>
    <xf numFmtId="0" fontId="5" fillId="0" borderId="11" xfId="40" applyFont="1" applyBorder="1" applyAlignment="1" applyProtection="1">
      <alignment horizontal="center" wrapText="1"/>
    </xf>
    <xf numFmtId="0" fontId="5" fillId="16" borderId="70" xfId="40" applyFont="1" applyFill="1" applyBorder="1" applyProtection="1"/>
    <xf numFmtId="0" fontId="27" fillId="16" borderId="82" xfId="40" applyFill="1" applyBorder="1" applyProtection="1"/>
    <xf numFmtId="3" fontId="27" fillId="16" borderId="82" xfId="40" applyNumberFormat="1" applyFill="1" applyBorder="1" applyProtection="1"/>
    <xf numFmtId="3" fontId="27" fillId="16" borderId="65" xfId="40" applyNumberFormat="1" applyFill="1" applyBorder="1" applyProtection="1"/>
    <xf numFmtId="0" fontId="23" fillId="0" borderId="0" xfId="24" applyFont="1" applyFill="1"/>
    <xf numFmtId="3" fontId="19" fillId="0" borderId="0" xfId="24" applyNumberFormat="1" applyFont="1" applyFill="1"/>
    <xf numFmtId="3" fontId="23" fillId="0" borderId="0" xfId="24" applyNumberFormat="1" applyFont="1" applyFill="1"/>
    <xf numFmtId="0" fontId="19" fillId="0" borderId="0" xfId="24" applyFont="1" applyFill="1"/>
    <xf numFmtId="3" fontId="24" fillId="0" borderId="0" xfId="24" applyNumberFormat="1" applyFont="1" applyFill="1" applyAlignment="1">
      <alignment horizontal="center"/>
    </xf>
    <xf numFmtId="3" fontId="24" fillId="0" borderId="0" xfId="24" applyNumberFormat="1" applyFont="1" applyFill="1" applyAlignment="1">
      <alignment horizontal="center" vertical="top" wrapText="1"/>
    </xf>
    <xf numFmtId="0" fontId="19" fillId="0" borderId="0" xfId="24" applyFont="1" applyFill="1" applyAlignment="1">
      <alignment horizontal="center"/>
    </xf>
    <xf numFmtId="3" fontId="19" fillId="0" borderId="0" xfId="24" applyNumberFormat="1" applyFont="1" applyFill="1" applyAlignment="1">
      <alignment horizontal="center"/>
    </xf>
    <xf numFmtId="3" fontId="19" fillId="0" borderId="0" xfId="24" applyNumberFormat="1" applyFont="1" applyFill="1" applyAlignment="1">
      <alignment horizontal="right"/>
    </xf>
    <xf numFmtId="0" fontId="19" fillId="0" borderId="29" xfId="24" applyFont="1" applyFill="1" applyBorder="1"/>
    <xf numFmtId="3" fontId="19" fillId="0" borderId="29" xfId="24" applyNumberFormat="1" applyFont="1" applyFill="1" applyBorder="1"/>
    <xf numFmtId="0" fontId="23" fillId="0" borderId="29" xfId="24" applyFont="1" applyFill="1" applyBorder="1"/>
    <xf numFmtId="3" fontId="23" fillId="0" borderId="29" xfId="24" applyNumberFormat="1" applyFont="1" applyFill="1" applyBorder="1"/>
    <xf numFmtId="3" fontId="23" fillId="0" borderId="0" xfId="24" applyNumberFormat="1" applyFont="1" applyFill="1" applyBorder="1"/>
    <xf numFmtId="0" fontId="0" fillId="0" borderId="12" xfId="0" applyBorder="1"/>
    <xf numFmtId="0" fontId="0" fillId="0" borderId="12" xfId="0" applyFill="1" applyBorder="1"/>
    <xf numFmtId="0" fontId="8" fillId="0" borderId="0" xfId="1" applyBorder="1" applyAlignment="1">
      <alignment horizontal="left"/>
    </xf>
    <xf numFmtId="0" fontId="8" fillId="0" borderId="12" xfId="0" applyFont="1" applyBorder="1"/>
    <xf numFmtId="0" fontId="8" fillId="0" borderId="12" xfId="0" applyFont="1" applyFill="1" applyBorder="1"/>
    <xf numFmtId="0" fontId="0" fillId="0" borderId="26" xfId="0" applyFill="1" applyBorder="1"/>
    <xf numFmtId="3" fontId="0" fillId="31" borderId="24" xfId="0" applyNumberFormat="1" applyFill="1" applyBorder="1"/>
    <xf numFmtId="3" fontId="2" fillId="31" borderId="32" xfId="0" applyNumberFormat="1" applyFont="1" applyFill="1" applyBorder="1"/>
    <xf numFmtId="3" fontId="0" fillId="31" borderId="25" xfId="0" applyNumberFormat="1" applyFill="1" applyBorder="1"/>
    <xf numFmtId="3" fontId="0" fillId="31" borderId="18" xfId="0" applyNumberFormat="1" applyFill="1" applyBorder="1"/>
    <xf numFmtId="3" fontId="2" fillId="31" borderId="0" xfId="0" applyNumberFormat="1" applyFont="1" applyFill="1" applyBorder="1"/>
    <xf numFmtId="3" fontId="0" fillId="31" borderId="26" xfId="0" applyNumberFormat="1" applyFill="1" applyBorder="1"/>
    <xf numFmtId="3" fontId="0" fillId="31" borderId="0" xfId="0" applyNumberFormat="1" applyFill="1" applyBorder="1"/>
    <xf numFmtId="3" fontId="0" fillId="31" borderId="27" xfId="0" applyNumberFormat="1" applyFill="1" applyBorder="1"/>
    <xf numFmtId="3" fontId="2" fillId="31" borderId="23" xfId="0" applyNumberFormat="1" applyFont="1" applyFill="1" applyBorder="1"/>
    <xf numFmtId="3" fontId="0" fillId="31" borderId="17" xfId="0" applyNumberFormat="1" applyFill="1" applyBorder="1"/>
    <xf numFmtId="3" fontId="13" fillId="0" borderId="0" xfId="0" applyNumberFormat="1" applyFont="1" applyFill="1" applyAlignment="1">
      <alignment horizontal="center"/>
    </xf>
    <xf numFmtId="3" fontId="2" fillId="7" borderId="0" xfId="0" applyNumberFormat="1" applyFont="1" applyFill="1" applyAlignment="1">
      <alignment horizontal="center" vertical="center" wrapText="1"/>
    </xf>
    <xf numFmtId="0" fontId="24" fillId="0" borderId="0" xfId="0" applyFont="1" applyFill="1" applyBorder="1" applyAlignment="1">
      <alignment vertical="top" wrapText="1"/>
    </xf>
    <xf numFmtId="0" fontId="24" fillId="0" borderId="29" xfId="0" applyFont="1" applyFill="1" applyBorder="1" applyAlignment="1">
      <alignment vertical="top" wrapText="1"/>
    </xf>
    <xf numFmtId="3" fontId="24" fillId="0" borderId="29" xfId="0" applyNumberFormat="1" applyFont="1" applyFill="1" applyBorder="1" applyAlignment="1">
      <alignment vertical="top" wrapText="1"/>
    </xf>
    <xf numFmtId="3" fontId="24" fillId="0" borderId="0" xfId="0" applyNumberFormat="1" applyFont="1" applyFill="1"/>
    <xf numFmtId="0" fontId="24" fillId="0" borderId="0" xfId="0" applyFont="1" applyFill="1" applyBorder="1"/>
    <xf numFmtId="0" fontId="24" fillId="0" borderId="29" xfId="0" applyFont="1" applyFill="1" applyBorder="1"/>
    <xf numFmtId="3" fontId="24" fillId="0" borderId="29" xfId="0" applyNumberFormat="1" applyFont="1" applyFill="1" applyBorder="1"/>
    <xf numFmtId="0" fontId="5" fillId="0" borderId="0" xfId="44" applyFont="1" applyBorder="1"/>
    <xf numFmtId="0" fontId="8" fillId="0" borderId="0" xfId="44"/>
    <xf numFmtId="0" fontId="8" fillId="0" borderId="0" xfId="44" applyNumberFormat="1" applyAlignment="1">
      <alignment horizontal="right"/>
    </xf>
    <xf numFmtId="0" fontId="8" fillId="0" borderId="0" xfId="44" applyAlignment="1">
      <alignment horizontal="center"/>
    </xf>
    <xf numFmtId="166" fontId="8" fillId="0" borderId="0" xfId="44" applyNumberFormat="1" applyAlignment="1">
      <alignment horizontal="center"/>
    </xf>
    <xf numFmtId="3" fontId="8" fillId="0" borderId="0" xfId="44" applyNumberFormat="1" applyAlignment="1">
      <alignment horizontal="center"/>
    </xf>
    <xf numFmtId="169" fontId="8" fillId="0" borderId="0" xfId="44" applyNumberFormat="1" applyAlignment="1">
      <alignment horizontal="center"/>
    </xf>
    <xf numFmtId="0" fontId="8" fillId="0" borderId="0" xfId="44" applyAlignment="1"/>
    <xf numFmtId="166" fontId="8" fillId="0" borderId="0" xfId="44" applyNumberFormat="1" applyAlignment="1"/>
    <xf numFmtId="166" fontId="8" fillId="0" borderId="0" xfId="44" applyNumberFormat="1" applyFill="1" applyBorder="1"/>
    <xf numFmtId="0" fontId="8" fillId="0" borderId="0" xfId="44" applyFill="1" applyBorder="1"/>
    <xf numFmtId="0" fontId="8" fillId="0" borderId="0" xfId="44" applyAlignment="1">
      <alignment horizontal="right"/>
    </xf>
    <xf numFmtId="0" fontId="8" fillId="0" borderId="0" xfId="44" applyBorder="1"/>
    <xf numFmtId="169" fontId="5" fillId="3" borderId="19" xfId="44" applyNumberFormat="1" applyFont="1" applyFill="1" applyBorder="1" applyAlignment="1">
      <alignment horizontal="centerContinuous"/>
    </xf>
    <xf numFmtId="0" fontId="5" fillId="3" borderId="20" xfId="44" applyFont="1" applyFill="1" applyBorder="1" applyAlignment="1">
      <alignment horizontal="centerContinuous"/>
    </xf>
    <xf numFmtId="169" fontId="5" fillId="3" borderId="20" xfId="44" applyNumberFormat="1" applyFont="1" applyFill="1" applyBorder="1" applyAlignment="1">
      <alignment horizontal="centerContinuous"/>
    </xf>
    <xf numFmtId="169" fontId="5" fillId="3" borderId="31" xfId="44" applyNumberFormat="1" applyFont="1" applyFill="1" applyBorder="1" applyAlignment="1">
      <alignment horizontal="centerContinuous"/>
    </xf>
    <xf numFmtId="0" fontId="5" fillId="0" borderId="0" xfId="44" applyFont="1"/>
    <xf numFmtId="0" fontId="5" fillId="0" borderId="0" xfId="44" applyNumberFormat="1" applyFont="1" applyAlignment="1">
      <alignment horizontal="right"/>
    </xf>
    <xf numFmtId="0" fontId="5" fillId="3" borderId="24" xfId="44" applyFont="1" applyFill="1" applyBorder="1"/>
    <xf numFmtId="0" fontId="5" fillId="3" borderId="32" xfId="44" applyFont="1" applyFill="1" applyBorder="1" applyAlignment="1">
      <alignment horizontal="centerContinuous" vertical="center" readingOrder="1"/>
    </xf>
    <xf numFmtId="166" fontId="5" fillId="3" borderId="32" xfId="44" applyNumberFormat="1" applyFont="1" applyFill="1" applyBorder="1" applyAlignment="1">
      <alignment horizontal="centerContinuous" vertical="center" readingOrder="1"/>
    </xf>
    <xf numFmtId="0" fontId="5" fillId="3" borderId="32" xfId="44" applyFont="1" applyFill="1" applyBorder="1" applyAlignment="1">
      <alignment horizontal="center"/>
    </xf>
    <xf numFmtId="0" fontId="5" fillId="6" borderId="32" xfId="44" applyFont="1" applyFill="1" applyBorder="1" applyAlignment="1">
      <alignment horizontal="centerContinuous" vertical="center"/>
    </xf>
    <xf numFmtId="166" fontId="5" fillId="6" borderId="32" xfId="44" applyNumberFormat="1" applyFont="1" applyFill="1" applyBorder="1" applyAlignment="1">
      <alignment horizontal="centerContinuous" vertical="center"/>
    </xf>
    <xf numFmtId="3" fontId="5" fillId="6" borderId="32" xfId="44" applyNumberFormat="1" applyFont="1" applyFill="1" applyBorder="1" applyAlignment="1">
      <alignment horizontal="centerContinuous" vertical="center"/>
    </xf>
    <xf numFmtId="0" fontId="5" fillId="3" borderId="32" xfId="44" applyFont="1" applyFill="1" applyBorder="1"/>
    <xf numFmtId="169" fontId="5" fillId="3" borderId="32" xfId="44" applyNumberFormat="1" applyFont="1" applyFill="1" applyBorder="1" applyAlignment="1">
      <alignment horizontal="center"/>
    </xf>
    <xf numFmtId="0" fontId="5" fillId="3" borderId="32" xfId="44" applyFont="1" applyFill="1" applyBorder="1" applyAlignment="1">
      <alignment horizontal="centerContinuous"/>
    </xf>
    <xf numFmtId="166" fontId="5" fillId="3" borderId="32" xfId="44" applyNumberFormat="1" applyFont="1" applyFill="1" applyBorder="1" applyAlignment="1">
      <alignment horizontal="centerContinuous"/>
    </xf>
    <xf numFmtId="166" fontId="5" fillId="9" borderId="32" xfId="44" applyNumberFormat="1" applyFont="1" applyFill="1" applyBorder="1" applyAlignment="1">
      <alignment horizontal="center"/>
    </xf>
    <xf numFmtId="0" fontId="5" fillId="9" borderId="32" xfId="44" applyFont="1" applyFill="1" applyBorder="1"/>
    <xf numFmtId="166" fontId="5" fillId="0" borderId="0" xfId="44" applyNumberFormat="1" applyFont="1" applyFill="1" applyBorder="1"/>
    <xf numFmtId="0" fontId="5" fillId="0" borderId="0" xfId="44" applyFont="1" applyFill="1" applyBorder="1"/>
    <xf numFmtId="0" fontId="5" fillId="0" borderId="0" xfId="44" applyFont="1" applyAlignment="1">
      <alignment horizontal="right"/>
    </xf>
    <xf numFmtId="0" fontId="8" fillId="3" borderId="27" xfId="44" applyFill="1" applyBorder="1"/>
    <xf numFmtId="0" fontId="8" fillId="0" borderId="23" xfId="44" applyBorder="1" applyAlignment="1">
      <alignment horizontal="center"/>
    </xf>
    <xf numFmtId="166" fontId="8" fillId="0" borderId="23" xfId="44" applyNumberFormat="1" applyBorder="1" applyAlignment="1">
      <alignment horizontal="center"/>
    </xf>
    <xf numFmtId="0" fontId="8" fillId="3" borderId="23" xfId="44" applyFill="1" applyBorder="1" applyAlignment="1">
      <alignment horizontal="center"/>
    </xf>
    <xf numFmtId="3" fontId="8" fillId="0" borderId="23" xfId="44" applyNumberFormat="1" applyBorder="1" applyAlignment="1">
      <alignment horizontal="center"/>
    </xf>
    <xf numFmtId="0" fontId="8" fillId="3" borderId="23" xfId="44" applyFill="1" applyBorder="1"/>
    <xf numFmtId="169" fontId="8" fillId="0" borderId="23" xfId="44" applyNumberFormat="1" applyBorder="1" applyAlignment="1">
      <alignment horizontal="center"/>
    </xf>
    <xf numFmtId="0" fontId="8" fillId="0" borderId="23" xfId="44" applyBorder="1" applyAlignment="1"/>
    <xf numFmtId="166" fontId="8" fillId="0" borderId="23" xfId="44" applyNumberFormat="1" applyBorder="1" applyAlignment="1"/>
    <xf numFmtId="0" fontId="8" fillId="9" borderId="23" xfId="44" applyFill="1" applyBorder="1"/>
    <xf numFmtId="0" fontId="5" fillId="0" borderId="12" xfId="44" applyFont="1" applyBorder="1" applyAlignment="1">
      <alignment horizontal="center" vertical="center" wrapText="1"/>
    </xf>
    <xf numFmtId="0" fontId="5" fillId="0" borderId="12" xfId="44" applyNumberFormat="1" applyFont="1" applyBorder="1" applyAlignment="1">
      <alignment horizontal="right" vertical="center" wrapText="1"/>
    </xf>
    <xf numFmtId="0" fontId="5" fillId="3" borderId="32" xfId="44" applyFont="1" applyFill="1" applyBorder="1" applyAlignment="1">
      <alignment horizontal="center" vertical="center" wrapText="1"/>
    </xf>
    <xf numFmtId="0" fontId="5" fillId="0" borderId="12" xfId="45" applyFont="1" applyFill="1" applyBorder="1" applyAlignment="1">
      <alignment horizontal="center" vertical="center" wrapText="1"/>
    </xf>
    <xf numFmtId="166" fontId="5" fillId="0" borderId="12" xfId="44" applyNumberFormat="1" applyFont="1" applyBorder="1" applyAlignment="1">
      <alignment horizontal="center" vertical="center" wrapText="1"/>
    </xf>
    <xf numFmtId="0" fontId="5" fillId="7" borderId="12" xfId="44" applyFont="1" applyFill="1" applyBorder="1" applyAlignment="1">
      <alignment horizontal="center" vertical="center" wrapText="1"/>
    </xf>
    <xf numFmtId="166" fontId="5" fillId="9" borderId="12" xfId="44" applyNumberFormat="1" applyFont="1" applyFill="1" applyBorder="1" applyAlignment="1">
      <alignment horizontal="center" vertical="center" wrapText="1"/>
    </xf>
    <xf numFmtId="3" fontId="5" fillId="9" borderId="12" xfId="44" applyNumberFormat="1" applyFont="1" applyFill="1" applyBorder="1" applyAlignment="1">
      <alignment horizontal="center" vertical="center" wrapText="1"/>
    </xf>
    <xf numFmtId="169" fontId="5" fillId="9" borderId="12" xfId="44" applyNumberFormat="1" applyFont="1" applyFill="1" applyBorder="1" applyAlignment="1">
      <alignment horizontal="center" vertical="center" wrapText="1"/>
    </xf>
    <xf numFmtId="0" fontId="5" fillId="9" borderId="32" xfId="44" applyFont="1" applyFill="1" applyBorder="1" applyAlignment="1">
      <alignment horizontal="center" vertical="center" wrapText="1"/>
    </xf>
    <xf numFmtId="166" fontId="5" fillId="0" borderId="0" xfId="44" applyNumberFormat="1" applyFont="1" applyFill="1" applyBorder="1" applyAlignment="1">
      <alignment horizontal="center" vertical="center" wrapText="1"/>
    </xf>
    <xf numFmtId="0" fontId="5" fillId="0" borderId="0" xfId="44" applyFont="1" applyFill="1" applyBorder="1" applyAlignment="1">
      <alignment horizontal="center" vertical="center" wrapText="1"/>
    </xf>
    <xf numFmtId="0" fontId="5" fillId="0" borderId="0" xfId="44" applyFont="1" applyBorder="1" applyAlignment="1">
      <alignment horizontal="center" vertical="center" wrapText="1"/>
    </xf>
    <xf numFmtId="0" fontId="5" fillId="0" borderId="0" xfId="44" applyFont="1" applyBorder="1" applyAlignment="1">
      <alignment horizontal="right" vertical="center" wrapText="1"/>
    </xf>
    <xf numFmtId="0" fontId="8" fillId="0" borderId="18" xfId="44" applyBorder="1"/>
    <xf numFmtId="0" fontId="8" fillId="0" borderId="0" xfId="44" applyNumberFormat="1" applyBorder="1" applyAlignment="1">
      <alignment horizontal="right"/>
    </xf>
    <xf numFmtId="0" fontId="8" fillId="3" borderId="0" xfId="44" applyFill="1" applyBorder="1"/>
    <xf numFmtId="0" fontId="8" fillId="0" borderId="0" xfId="44" applyBorder="1" applyAlignment="1">
      <alignment horizontal="center"/>
    </xf>
    <xf numFmtId="0" fontId="8" fillId="0" borderId="20" xfId="44" applyBorder="1" applyAlignment="1">
      <alignment horizontal="center"/>
    </xf>
    <xf numFmtId="166" fontId="8" fillId="0" borderId="0" xfId="44" applyNumberFormat="1" applyBorder="1" applyAlignment="1">
      <alignment horizontal="center"/>
    </xf>
    <xf numFmtId="0" fontId="8" fillId="3" borderId="0" xfId="44" applyFill="1" applyBorder="1" applyAlignment="1">
      <alignment horizontal="center"/>
    </xf>
    <xf numFmtId="3" fontId="8" fillId="0" borderId="0" xfId="44" applyNumberFormat="1" applyBorder="1" applyAlignment="1">
      <alignment horizontal="center"/>
    </xf>
    <xf numFmtId="169" fontId="8" fillId="0" borderId="20" xfId="44" applyNumberFormat="1" applyBorder="1" applyAlignment="1">
      <alignment horizontal="center"/>
    </xf>
    <xf numFmtId="169" fontId="8" fillId="0" borderId="0" xfId="44" applyNumberFormat="1" applyBorder="1" applyAlignment="1">
      <alignment horizontal="center"/>
    </xf>
    <xf numFmtId="166" fontId="8" fillId="0" borderId="31" xfId="44" applyNumberFormat="1" applyBorder="1" applyAlignment="1">
      <alignment horizontal="center"/>
    </xf>
    <xf numFmtId="0" fontId="8" fillId="9" borderId="0" xfId="44" applyFill="1" applyBorder="1"/>
    <xf numFmtId="0" fontId="8" fillId="9" borderId="24" xfId="44" applyFill="1" applyBorder="1" applyAlignment="1">
      <alignment horizontal="center"/>
    </xf>
    <xf numFmtId="0" fontId="8" fillId="9" borderId="0" xfId="44" applyFill="1" applyBorder="1" applyAlignment="1">
      <alignment horizontal="center"/>
    </xf>
    <xf numFmtId="166" fontId="8" fillId="9" borderId="32" xfId="44" applyNumberFormat="1" applyFill="1" applyBorder="1" applyAlignment="1">
      <alignment horizontal="center"/>
    </xf>
    <xf numFmtId="0" fontId="8" fillId="9" borderId="32" xfId="44" applyFill="1" applyBorder="1" applyAlignment="1">
      <alignment horizontal="center"/>
    </xf>
    <xf numFmtId="166" fontId="5" fillId="9" borderId="25" xfId="44" applyNumberFormat="1" applyFont="1" applyFill="1" applyBorder="1" applyAlignment="1">
      <alignment horizontal="center"/>
    </xf>
    <xf numFmtId="1" fontId="8" fillId="9" borderId="32" xfId="44" applyNumberFormat="1" applyFill="1" applyBorder="1" applyAlignment="1">
      <alignment horizontal="center"/>
    </xf>
    <xf numFmtId="3" fontId="8" fillId="9" borderId="24" xfId="44" applyNumberFormat="1" applyFill="1" applyBorder="1" applyAlignment="1">
      <alignment horizontal="center"/>
    </xf>
    <xf numFmtId="3" fontId="8" fillId="9" borderId="32" xfId="44" applyNumberFormat="1" applyFill="1" applyBorder="1" applyAlignment="1">
      <alignment horizontal="center"/>
    </xf>
    <xf numFmtId="3" fontId="5" fillId="9" borderId="25" xfId="44" applyNumberFormat="1" applyFont="1" applyFill="1" applyBorder="1" applyAlignment="1">
      <alignment horizontal="center"/>
    </xf>
    <xf numFmtId="166" fontId="5" fillId="9" borderId="16" xfId="44" quotePrefix="1" applyNumberFormat="1" applyFont="1" applyFill="1" applyBorder="1" applyAlignment="1">
      <alignment horizontal="center"/>
    </xf>
    <xf numFmtId="0" fontId="5" fillId="3" borderId="0" xfId="44" applyFont="1" applyFill="1" applyBorder="1"/>
    <xf numFmtId="166" fontId="5" fillId="32" borderId="33" xfId="44" applyNumberFormat="1" applyFont="1" applyFill="1" applyBorder="1" applyAlignment="1">
      <alignment horizontal="center"/>
    </xf>
    <xf numFmtId="166" fontId="5" fillId="9" borderId="33" xfId="44" applyNumberFormat="1" applyFont="1" applyFill="1" applyBorder="1" applyAlignment="1">
      <alignment horizontal="center"/>
    </xf>
    <xf numFmtId="166" fontId="8" fillId="33" borderId="24" xfId="44" applyNumberFormat="1" applyFill="1" applyBorder="1" applyAlignment="1">
      <alignment horizontal="center"/>
    </xf>
    <xf numFmtId="166" fontId="8" fillId="33" borderId="32" xfId="44" applyNumberFormat="1" applyFill="1" applyBorder="1" applyAlignment="1">
      <alignment horizontal="center"/>
    </xf>
    <xf numFmtId="166" fontId="5" fillId="33" borderId="25" xfId="44" applyNumberFormat="1" applyFont="1" applyFill="1" applyBorder="1" applyAlignment="1">
      <alignment horizontal="center"/>
    </xf>
    <xf numFmtId="166" fontId="34" fillId="9" borderId="33" xfId="44" applyNumberFormat="1" applyFont="1" applyFill="1" applyBorder="1" applyAlignment="1">
      <alignment horizontal="center"/>
    </xf>
    <xf numFmtId="166" fontId="34" fillId="9" borderId="12" xfId="46" applyNumberFormat="1" applyFont="1" applyFill="1" applyBorder="1" applyAlignment="1">
      <alignment horizontal="center"/>
    </xf>
    <xf numFmtId="3" fontId="8" fillId="0" borderId="0" xfId="44" applyNumberFormat="1"/>
    <xf numFmtId="3" fontId="8" fillId="0" borderId="0" xfId="44" applyNumberFormat="1" applyAlignment="1">
      <alignment horizontal="right"/>
    </xf>
    <xf numFmtId="166" fontId="8" fillId="0" borderId="0" xfId="44" applyNumberFormat="1"/>
    <xf numFmtId="0" fontId="8" fillId="9" borderId="18" xfId="44" applyFill="1" applyBorder="1" applyAlignment="1">
      <alignment horizontal="center"/>
    </xf>
    <xf numFmtId="166" fontId="5" fillId="9" borderId="26" xfId="44" applyNumberFormat="1" applyFont="1" applyFill="1" applyBorder="1" applyAlignment="1">
      <alignment horizontal="center"/>
    </xf>
    <xf numFmtId="166" fontId="5" fillId="32" borderId="16" xfId="44" applyNumberFormat="1" applyFont="1" applyFill="1" applyBorder="1" applyAlignment="1">
      <alignment horizontal="center"/>
    </xf>
    <xf numFmtId="166" fontId="5" fillId="9" borderId="16" xfId="44" applyNumberFormat="1" applyFont="1" applyFill="1" applyBorder="1" applyAlignment="1">
      <alignment horizontal="center"/>
    </xf>
    <xf numFmtId="166" fontId="8" fillId="33" borderId="18" xfId="44" applyNumberFormat="1" applyFill="1" applyBorder="1" applyAlignment="1">
      <alignment horizontal="center"/>
    </xf>
    <xf numFmtId="166" fontId="8" fillId="33" borderId="0" xfId="44" applyNumberFormat="1" applyFill="1" applyBorder="1" applyAlignment="1">
      <alignment horizontal="center"/>
    </xf>
    <xf numFmtId="166" fontId="5" fillId="33" borderId="26" xfId="44" applyNumberFormat="1" applyFont="1" applyFill="1" applyBorder="1" applyAlignment="1">
      <alignment horizontal="center"/>
    </xf>
    <xf numFmtId="166" fontId="34" fillId="9" borderId="16" xfId="44" applyNumberFormat="1" applyFont="1" applyFill="1" applyBorder="1" applyAlignment="1">
      <alignment horizontal="center"/>
    </xf>
    <xf numFmtId="3" fontId="8" fillId="0" borderId="0" xfId="47" applyNumberFormat="1" applyAlignment="1"/>
    <xf numFmtId="0" fontId="8" fillId="0" borderId="18" xfId="44" applyFont="1" applyBorder="1"/>
    <xf numFmtId="0" fontId="8" fillId="0" borderId="0" xfId="44" applyNumberFormat="1" applyFont="1" applyBorder="1" applyAlignment="1">
      <alignment horizontal="right"/>
    </xf>
    <xf numFmtId="0" fontId="8" fillId="0" borderId="18" xfId="44" applyBorder="1" applyAlignment="1">
      <alignment wrapText="1"/>
    </xf>
    <xf numFmtId="0" fontId="8" fillId="0" borderId="18" xfId="44" applyFill="1" applyBorder="1"/>
    <xf numFmtId="0" fontId="8" fillId="0" borderId="0" xfId="44" applyNumberFormat="1" applyFill="1" applyBorder="1" applyAlignment="1">
      <alignment horizontal="right"/>
    </xf>
    <xf numFmtId="0" fontId="25" fillId="10" borderId="0" xfId="44" applyFont="1" applyFill="1" applyBorder="1" applyAlignment="1">
      <alignment horizontal="center"/>
    </xf>
    <xf numFmtId="0" fontId="8" fillId="0" borderId="0" xfId="47" applyAlignment="1"/>
    <xf numFmtId="3" fontId="8" fillId="0" borderId="0" xfId="46" applyNumberFormat="1" applyFont="1" applyFill="1"/>
    <xf numFmtId="0" fontId="8" fillId="11" borderId="0" xfId="44" applyFill="1" applyBorder="1"/>
    <xf numFmtId="0" fontId="8" fillId="11" borderId="0" xfId="44" applyNumberFormat="1" applyFill="1" applyBorder="1" applyAlignment="1">
      <alignment horizontal="right"/>
    </xf>
    <xf numFmtId="0" fontId="8" fillId="9" borderId="27" xfId="44" applyFill="1" applyBorder="1" applyAlignment="1">
      <alignment horizontal="center"/>
    </xf>
    <xf numFmtId="0" fontId="8" fillId="9" borderId="23" xfId="44" applyFill="1" applyBorder="1" applyAlignment="1">
      <alignment horizontal="center"/>
    </xf>
    <xf numFmtId="166" fontId="5" fillId="9" borderId="17" xfId="44" applyNumberFormat="1" applyFont="1" applyFill="1" applyBorder="1" applyAlignment="1">
      <alignment horizontal="center"/>
    </xf>
    <xf numFmtId="166" fontId="5" fillId="9" borderId="11" xfId="44" quotePrefix="1" applyNumberFormat="1" applyFont="1" applyFill="1" applyBorder="1" applyAlignment="1">
      <alignment horizontal="center"/>
    </xf>
    <xf numFmtId="166" fontId="5" fillId="32" borderId="11" xfId="44" applyNumberFormat="1" applyFont="1" applyFill="1" applyBorder="1" applyAlignment="1">
      <alignment horizontal="center"/>
    </xf>
    <xf numFmtId="166" fontId="8" fillId="33" borderId="27" xfId="44" applyNumberFormat="1" applyFill="1" applyBorder="1" applyAlignment="1">
      <alignment horizontal="center"/>
    </xf>
    <xf numFmtId="166" fontId="5" fillId="33" borderId="17" xfId="44" applyNumberFormat="1" applyFont="1" applyFill="1" applyBorder="1" applyAlignment="1">
      <alignment horizontal="center"/>
    </xf>
    <xf numFmtId="166" fontId="34" fillId="9" borderId="11" xfId="44" applyNumberFormat="1" applyFont="1" applyFill="1" applyBorder="1" applyAlignment="1">
      <alignment horizontal="center"/>
    </xf>
    <xf numFmtId="0" fontId="8" fillId="0" borderId="0" xfId="44" applyFill="1" applyBorder="1" applyAlignment="1">
      <alignment horizontal="center"/>
    </xf>
    <xf numFmtId="169" fontId="5" fillId="0" borderId="0" xfId="44" applyNumberFormat="1" applyFont="1" applyBorder="1" applyAlignment="1">
      <alignment horizontal="center"/>
    </xf>
    <xf numFmtId="0" fontId="34" fillId="0" borderId="18" xfId="44" applyFont="1" applyFill="1" applyBorder="1"/>
    <xf numFmtId="0" fontId="34" fillId="0" borderId="0" xfId="44" applyFont="1" applyBorder="1"/>
    <xf numFmtId="0" fontId="34" fillId="0" borderId="0" xfId="44" applyNumberFormat="1" applyFont="1" applyBorder="1" applyAlignment="1">
      <alignment horizontal="right"/>
    </xf>
    <xf numFmtId="0" fontId="34" fillId="3" borderId="0" xfId="44" applyFont="1" applyFill="1" applyBorder="1"/>
    <xf numFmtId="166" fontId="34" fillId="0" borderId="20" xfId="44" applyNumberFormat="1" applyFont="1" applyBorder="1" applyAlignment="1">
      <alignment horizontal="center"/>
    </xf>
    <xf numFmtId="166" fontId="34" fillId="8" borderId="20" xfId="44" applyNumberFormat="1" applyFont="1" applyFill="1" applyBorder="1" applyAlignment="1">
      <alignment horizontal="center"/>
    </xf>
    <xf numFmtId="170" fontId="35" fillId="0" borderId="0" xfId="12" applyNumberFormat="1" applyFont="1" applyFill="1" applyBorder="1" applyAlignment="1">
      <alignment horizontal="center"/>
    </xf>
    <xf numFmtId="170" fontId="35" fillId="0" borderId="0" xfId="12" applyNumberFormat="1" applyFont="1" applyBorder="1" applyAlignment="1">
      <alignment horizontal="center"/>
    </xf>
    <xf numFmtId="0" fontId="34" fillId="0" borderId="0" xfId="44" applyFont="1" applyBorder="1" applyAlignment="1">
      <alignment horizontal="center"/>
    </xf>
    <xf numFmtId="0" fontId="34" fillId="3" borderId="0" xfId="44" applyFont="1" applyFill="1" applyBorder="1" applyAlignment="1">
      <alignment horizontal="center"/>
    </xf>
    <xf numFmtId="3" fontId="35" fillId="0" borderId="0" xfId="44" applyNumberFormat="1" applyFont="1" applyBorder="1" applyAlignment="1">
      <alignment horizontal="center"/>
    </xf>
    <xf numFmtId="3" fontId="34" fillId="9" borderId="20" xfId="44" applyNumberFormat="1" applyFont="1" applyFill="1" applyBorder="1" applyAlignment="1">
      <alignment horizontal="center"/>
    </xf>
    <xf numFmtId="166" fontId="34" fillId="9" borderId="20" xfId="44" applyNumberFormat="1" applyFont="1" applyFill="1" applyBorder="1" applyAlignment="1">
      <alignment horizontal="center"/>
    </xf>
    <xf numFmtId="166" fontId="34" fillId="9" borderId="12" xfId="44" applyNumberFormat="1" applyFont="1" applyFill="1" applyBorder="1" applyAlignment="1">
      <alignment horizontal="center"/>
    </xf>
    <xf numFmtId="0" fontId="34" fillId="9" borderId="0" xfId="44" applyFont="1" applyFill="1" applyBorder="1"/>
    <xf numFmtId="0" fontId="34" fillId="0" borderId="0" xfId="44" applyFont="1" applyFill="1" applyBorder="1"/>
    <xf numFmtId="0" fontId="34" fillId="0" borderId="0" xfId="44" applyFont="1"/>
    <xf numFmtId="166" fontId="34" fillId="0" borderId="0" xfId="44" applyNumberFormat="1" applyFont="1" applyBorder="1" applyAlignment="1">
      <alignment horizontal="center"/>
    </xf>
    <xf numFmtId="3" fontId="34" fillId="9" borderId="0" xfId="44" applyNumberFormat="1" applyFont="1" applyFill="1" applyBorder="1" applyAlignment="1">
      <alignment horizontal="center"/>
    </xf>
    <xf numFmtId="166" fontId="34" fillId="9" borderId="0" xfId="44" applyNumberFormat="1" applyFont="1" applyFill="1" applyBorder="1" applyAlignment="1">
      <alignment horizontal="center"/>
    </xf>
    <xf numFmtId="0" fontId="5" fillId="0" borderId="12" xfId="46" applyFont="1" applyBorder="1" applyAlignment="1">
      <alignment horizontal="center" vertical="center" wrapText="1"/>
    </xf>
    <xf numFmtId="0" fontId="5" fillId="0" borderId="12" xfId="46" applyNumberFormat="1" applyFont="1" applyBorder="1" applyAlignment="1">
      <alignment horizontal="right" vertical="center" wrapText="1"/>
    </xf>
    <xf numFmtId="0" fontId="5" fillId="3" borderId="0" xfId="46" applyFont="1" applyFill="1" applyBorder="1" applyAlignment="1">
      <alignment horizontal="center" vertical="center" wrapText="1"/>
    </xf>
    <xf numFmtId="3" fontId="5" fillId="0" borderId="12" xfId="45" applyNumberFormat="1" applyFont="1" applyFill="1" applyBorder="1" applyAlignment="1">
      <alignment horizontal="center" vertical="center" wrapText="1"/>
    </xf>
    <xf numFmtId="166" fontId="5" fillId="0" borderId="12" xfId="46" applyNumberFormat="1" applyFont="1" applyBorder="1" applyAlignment="1">
      <alignment horizontal="center" vertical="center" wrapText="1"/>
    </xf>
    <xf numFmtId="166" fontId="5" fillId="9" borderId="12" xfId="46" applyNumberFormat="1" applyFont="1" applyFill="1" applyBorder="1" applyAlignment="1">
      <alignment horizontal="center" vertical="center" wrapText="1"/>
    </xf>
    <xf numFmtId="3" fontId="5" fillId="9" borderId="12" xfId="46" applyNumberFormat="1" applyFont="1" applyFill="1" applyBorder="1" applyAlignment="1">
      <alignment horizontal="center" vertical="center" wrapText="1"/>
    </xf>
    <xf numFmtId="169" fontId="5" fillId="9" borderId="12" xfId="46" applyNumberFormat="1" applyFont="1" applyFill="1" applyBorder="1" applyAlignment="1">
      <alignment horizontal="center" vertical="center" wrapText="1"/>
    </xf>
    <xf numFmtId="0" fontId="5" fillId="9" borderId="0" xfId="46" applyFont="1" applyFill="1" applyBorder="1" applyAlignment="1">
      <alignment horizontal="center" vertical="center" wrapText="1"/>
    </xf>
    <xf numFmtId="166" fontId="5" fillId="0" borderId="0" xfId="46" applyNumberFormat="1" applyFont="1" applyFill="1" applyBorder="1" applyAlignment="1">
      <alignment horizontal="center" vertical="center" wrapText="1"/>
    </xf>
    <xf numFmtId="0" fontId="5" fillId="0" borderId="0" xfId="46" applyFont="1" applyBorder="1" applyAlignment="1">
      <alignment horizontal="center" vertical="center" wrapText="1"/>
    </xf>
    <xf numFmtId="166" fontId="1" fillId="0" borderId="0" xfId="46" applyNumberFormat="1"/>
    <xf numFmtId="0" fontId="1" fillId="0" borderId="18" xfId="46" applyBorder="1"/>
    <xf numFmtId="0" fontId="1" fillId="0" borderId="0" xfId="46" applyBorder="1"/>
    <xf numFmtId="0" fontId="1" fillId="0" borderId="0" xfId="46" applyNumberFormat="1" applyBorder="1" applyAlignment="1">
      <alignment horizontal="right"/>
    </xf>
    <xf numFmtId="0" fontId="1" fillId="3" borderId="0" xfId="46" applyFill="1" applyBorder="1"/>
    <xf numFmtId="0" fontId="1" fillId="0" borderId="0" xfId="46" applyBorder="1" applyAlignment="1">
      <alignment horizontal="center"/>
    </xf>
    <xf numFmtId="3" fontId="1" fillId="0" borderId="0" xfId="46" applyNumberFormat="1" applyBorder="1" applyAlignment="1">
      <alignment horizontal="center"/>
    </xf>
    <xf numFmtId="166" fontId="1" fillId="0" borderId="20" xfId="46" applyNumberFormat="1" applyBorder="1" applyAlignment="1">
      <alignment horizontal="center"/>
    </xf>
    <xf numFmtId="166" fontId="1" fillId="0" borderId="0" xfId="46" applyNumberFormat="1" applyBorder="1" applyAlignment="1">
      <alignment horizontal="center"/>
    </xf>
    <xf numFmtId="0" fontId="1" fillId="3" borderId="0" xfId="46" applyFill="1" applyBorder="1" applyAlignment="1">
      <alignment horizontal="center"/>
    </xf>
    <xf numFmtId="169" fontId="5" fillId="0" borderId="0" xfId="46" applyNumberFormat="1" applyFont="1" applyBorder="1" applyAlignment="1">
      <alignment horizontal="center"/>
    </xf>
    <xf numFmtId="0" fontId="5" fillId="3" borderId="0" xfId="46" applyFont="1" applyFill="1" applyBorder="1"/>
    <xf numFmtId="0" fontId="1" fillId="9" borderId="0" xfId="46" applyFill="1" applyBorder="1"/>
    <xf numFmtId="0" fontId="1" fillId="0" borderId="0" xfId="46" applyFill="1" applyBorder="1"/>
    <xf numFmtId="0" fontId="1" fillId="0" borderId="0" xfId="46"/>
    <xf numFmtId="0" fontId="1" fillId="0" borderId="0" xfId="46" applyNumberFormat="1" applyFill="1" applyBorder="1" applyAlignment="1">
      <alignment horizontal="right"/>
    </xf>
    <xf numFmtId="0" fontId="1" fillId="34" borderId="24" xfId="46" applyFill="1" applyBorder="1" applyAlignment="1">
      <alignment horizontal="center"/>
    </xf>
    <xf numFmtId="0" fontId="1" fillId="34" borderId="32" xfId="46" applyFill="1" applyBorder="1" applyAlignment="1">
      <alignment horizontal="center"/>
    </xf>
    <xf numFmtId="166" fontId="1" fillId="9" borderId="32" xfId="46" applyNumberFormat="1" applyFill="1" applyBorder="1" applyAlignment="1">
      <alignment horizontal="center"/>
    </xf>
    <xf numFmtId="0" fontId="1" fillId="9" borderId="32" xfId="46" applyFill="1" applyBorder="1" applyAlignment="1">
      <alignment horizontal="center"/>
    </xf>
    <xf numFmtId="3" fontId="1" fillId="9" borderId="32" xfId="46" applyNumberFormat="1" applyFill="1" applyBorder="1" applyAlignment="1">
      <alignment horizontal="center"/>
    </xf>
    <xf numFmtId="166" fontId="5" fillId="9" borderId="25" xfId="46" applyNumberFormat="1" applyFont="1" applyFill="1" applyBorder="1" applyAlignment="1">
      <alignment horizontal="center"/>
    </xf>
    <xf numFmtId="3" fontId="1" fillId="0" borderId="0" xfId="46" applyNumberFormat="1"/>
    <xf numFmtId="3" fontId="5" fillId="9" borderId="25" xfId="46" applyNumberFormat="1" applyFont="1" applyFill="1" applyBorder="1" applyAlignment="1">
      <alignment horizontal="center"/>
    </xf>
    <xf numFmtId="169" fontId="5" fillId="0" borderId="33" xfId="46" applyNumberFormat="1" applyFont="1" applyBorder="1" applyAlignment="1">
      <alignment horizontal="center"/>
    </xf>
    <xf numFmtId="0" fontId="1" fillId="32" borderId="24" xfId="46" applyFill="1" applyBorder="1" applyAlignment="1">
      <alignment horizontal="center"/>
    </xf>
    <xf numFmtId="0" fontId="1" fillId="32" borderId="32" xfId="46" applyFill="1" applyBorder="1" applyAlignment="1">
      <alignment horizontal="center"/>
    </xf>
    <xf numFmtId="166" fontId="5" fillId="0" borderId="25" xfId="46" applyNumberFormat="1" applyFont="1" applyBorder="1" applyAlignment="1">
      <alignment horizontal="center"/>
    </xf>
    <xf numFmtId="166" fontId="34" fillId="9" borderId="33" xfId="46" applyNumberFormat="1" applyFont="1" applyFill="1" applyBorder="1" applyAlignment="1">
      <alignment horizontal="center"/>
    </xf>
    <xf numFmtId="166" fontId="5" fillId="0" borderId="0" xfId="46" applyNumberFormat="1" applyFont="1" applyFill="1" applyBorder="1"/>
    <xf numFmtId="1" fontId="8" fillId="0" borderId="0" xfId="48" applyNumberFormat="1" applyFill="1" applyBorder="1"/>
    <xf numFmtId="0" fontId="1" fillId="0" borderId="0" xfId="46" applyNumberFormat="1" applyFill="1" applyBorder="1" applyAlignment="1">
      <alignment horizontal="right" vertical="center"/>
    </xf>
    <xf numFmtId="0" fontId="1" fillId="34" borderId="18" xfId="46" applyFill="1" applyBorder="1" applyAlignment="1">
      <alignment horizontal="center"/>
    </xf>
    <xf numFmtId="0" fontId="1" fillId="34" borderId="0" xfId="46" applyFill="1" applyBorder="1" applyAlignment="1">
      <alignment horizontal="center"/>
    </xf>
    <xf numFmtId="0" fontId="8" fillId="0" borderId="0" xfId="46" applyFont="1" applyFill="1" applyBorder="1" applyAlignment="1">
      <alignment vertical="center"/>
    </xf>
    <xf numFmtId="0" fontId="8" fillId="0" borderId="0" xfId="46" applyFont="1" applyFill="1" applyBorder="1"/>
    <xf numFmtId="0" fontId="8" fillId="0" borderId="0" xfId="46" applyNumberFormat="1" applyFont="1" applyFill="1" applyBorder="1" applyAlignment="1">
      <alignment horizontal="right" vertical="center"/>
    </xf>
    <xf numFmtId="0" fontId="1" fillId="9" borderId="0" xfId="46" applyFill="1" applyBorder="1" applyAlignment="1">
      <alignment horizontal="center"/>
    </xf>
    <xf numFmtId="3" fontId="1" fillId="9" borderId="0" xfId="46" applyNumberFormat="1" applyFill="1" applyBorder="1" applyAlignment="1">
      <alignment horizontal="center"/>
    </xf>
    <xf numFmtId="166" fontId="5" fillId="9" borderId="26" xfId="46" applyNumberFormat="1" applyFont="1" applyFill="1" applyBorder="1" applyAlignment="1">
      <alignment horizontal="center"/>
    </xf>
    <xf numFmtId="169" fontId="5" fillId="0" borderId="16" xfId="46" applyNumberFormat="1" applyFont="1" applyBorder="1" applyAlignment="1">
      <alignment horizontal="center"/>
    </xf>
    <xf numFmtId="0" fontId="1" fillId="32" borderId="18" xfId="46" applyFill="1" applyBorder="1" applyAlignment="1">
      <alignment horizontal="center"/>
    </xf>
    <xf numFmtId="0" fontId="1" fillId="32" borderId="0" xfId="46" applyFill="1" applyBorder="1" applyAlignment="1">
      <alignment horizontal="center"/>
    </xf>
    <xf numFmtId="0" fontId="8" fillId="0" borderId="0" xfId="44" applyFont="1" applyFill="1" applyBorder="1" applyAlignment="1">
      <alignment vertical="center"/>
    </xf>
    <xf numFmtId="0" fontId="8" fillId="0" borderId="0" xfId="46" applyFont="1" applyFill="1" applyBorder="1" applyAlignment="1">
      <alignment horizontal="center" vertical="center"/>
    </xf>
    <xf numFmtId="1" fontId="8" fillId="0" borderId="0" xfId="48" applyNumberFormat="1" applyFont="1" applyFill="1" applyBorder="1"/>
    <xf numFmtId="0" fontId="25" fillId="0" borderId="0" xfId="45" applyNumberFormat="1" applyFont="1" applyFill="1" applyBorder="1" applyAlignment="1">
      <alignment horizontal="right"/>
    </xf>
    <xf numFmtId="0" fontId="26" fillId="0" borderId="0" xfId="46" applyNumberFormat="1" applyFont="1" applyFill="1" applyBorder="1" applyAlignment="1">
      <alignment horizontal="right"/>
    </xf>
    <xf numFmtId="0" fontId="8" fillId="0" borderId="0" xfId="49" applyNumberFormat="1" applyFont="1" applyFill="1" applyBorder="1" applyAlignment="1">
      <alignment vertical="center"/>
    </xf>
    <xf numFmtId="0" fontId="8" fillId="0" borderId="0" xfId="46" applyFont="1" applyFill="1" applyBorder="1" applyAlignment="1">
      <alignment horizontal="right" vertical="center"/>
    </xf>
    <xf numFmtId="0" fontId="1" fillId="0" borderId="0" xfId="46" applyFill="1" applyBorder="1" applyAlignment="1">
      <alignment vertical="center"/>
    </xf>
    <xf numFmtId="0" fontId="8" fillId="9" borderId="0" xfId="46" applyFont="1" applyFill="1" applyBorder="1" applyAlignment="1">
      <alignment horizontal="center"/>
    </xf>
    <xf numFmtId="0" fontId="8" fillId="0" borderId="35" xfId="46" applyFont="1" applyFill="1" applyBorder="1" applyAlignment="1">
      <alignment vertical="center"/>
    </xf>
    <xf numFmtId="0" fontId="8" fillId="0" borderId="34" xfId="46" applyNumberFormat="1" applyFont="1" applyFill="1" applyBorder="1" applyAlignment="1">
      <alignment horizontal="right" vertical="center"/>
    </xf>
    <xf numFmtId="0" fontId="8" fillId="0" borderId="0" xfId="49" applyFill="1" applyBorder="1" applyAlignment="1">
      <alignment vertical="center"/>
    </xf>
    <xf numFmtId="2" fontId="8" fillId="0" borderId="0" xfId="49" applyNumberFormat="1" applyFill="1" applyBorder="1" applyAlignment="1">
      <alignment horizontal="right" vertical="center"/>
    </xf>
    <xf numFmtId="0" fontId="4" fillId="0" borderId="0" xfId="38" applyNumberFormat="1" applyFont="1" applyFill="1" applyBorder="1" applyAlignment="1">
      <alignment horizontal="right" wrapText="1"/>
    </xf>
    <xf numFmtId="0" fontId="8" fillId="0" borderId="0" xfId="49" applyNumberFormat="1" applyFill="1" applyBorder="1" applyAlignment="1">
      <alignment horizontal="right" vertical="center"/>
    </xf>
    <xf numFmtId="1" fontId="8" fillId="0" borderId="0" xfId="47" applyNumberFormat="1" applyFont="1" applyFill="1" applyBorder="1" applyAlignment="1">
      <alignment horizontal="left"/>
    </xf>
    <xf numFmtId="0" fontId="8" fillId="0" borderId="0" xfId="50" applyNumberFormat="1" applyFill="1" applyBorder="1" applyAlignment="1">
      <alignment horizontal="right" vertical="center"/>
    </xf>
    <xf numFmtId="0" fontId="8" fillId="0" borderId="12" xfId="39" applyNumberFormat="1" applyFill="1" applyBorder="1" applyAlignment="1">
      <alignment horizontal="right" vertical="center"/>
    </xf>
    <xf numFmtId="0" fontId="8" fillId="0" borderId="0" xfId="50" applyFill="1" applyBorder="1"/>
    <xf numFmtId="0" fontId="0" fillId="0" borderId="0" xfId="49" applyFont="1" applyFill="1" applyBorder="1" applyAlignment="1">
      <alignment vertical="center"/>
    </xf>
    <xf numFmtId="0" fontId="8" fillId="0" borderId="0" xfId="49" applyNumberFormat="1" applyFont="1" applyFill="1" applyBorder="1" applyAlignment="1">
      <alignment horizontal="right" vertical="center"/>
    </xf>
    <xf numFmtId="0" fontId="8" fillId="0" borderId="0" xfId="49" applyFont="1" applyFill="1" applyBorder="1" applyAlignment="1">
      <alignment vertical="center"/>
    </xf>
    <xf numFmtId="0" fontId="8" fillId="0" borderId="12" xfId="38" applyNumberFormat="1" applyFont="1" applyFill="1" applyBorder="1" applyAlignment="1">
      <alignment horizontal="right" wrapText="1"/>
    </xf>
    <xf numFmtId="0" fontId="1" fillId="0" borderId="0" xfId="46" applyNumberFormat="1" applyFill="1" applyBorder="1" applyAlignment="1">
      <alignment horizontal="left" vertical="center"/>
    </xf>
    <xf numFmtId="0" fontId="0" fillId="0" borderId="0" xfId="50" applyFont="1" applyFill="1" applyBorder="1" applyAlignment="1">
      <alignment vertical="center"/>
    </xf>
    <xf numFmtId="0" fontId="8" fillId="10" borderId="0" xfId="49" applyFill="1" applyBorder="1" applyAlignment="1">
      <alignment vertical="center"/>
    </xf>
    <xf numFmtId="0" fontId="0" fillId="10" borderId="0" xfId="49" applyFont="1" applyFill="1" applyBorder="1" applyAlignment="1">
      <alignment vertical="center"/>
    </xf>
    <xf numFmtId="0" fontId="25" fillId="0" borderId="12" xfId="45" applyFont="1" applyBorder="1" applyAlignment="1">
      <alignment horizontal="left"/>
    </xf>
    <xf numFmtId="0" fontId="8" fillId="0" borderId="0" xfId="49" applyNumberFormat="1" applyFill="1" applyBorder="1" applyAlignment="1">
      <alignment vertical="center"/>
    </xf>
    <xf numFmtId="0" fontId="0" fillId="0" borderId="0" xfId="49" applyNumberFormat="1" applyFont="1" applyFill="1" applyBorder="1" applyAlignment="1">
      <alignment vertical="center"/>
    </xf>
    <xf numFmtId="2" fontId="8" fillId="0" borderId="0" xfId="49" applyNumberFormat="1" applyFont="1" applyFill="1" applyBorder="1" applyAlignment="1">
      <alignment horizontal="right" vertical="center"/>
    </xf>
    <xf numFmtId="0" fontId="8" fillId="0" borderId="0" xfId="47" applyFont="1" applyFill="1" applyBorder="1" applyAlignment="1">
      <alignment horizontal="left"/>
    </xf>
    <xf numFmtId="0" fontId="8" fillId="0" borderId="0" xfId="45" applyFont="1" applyFill="1" applyBorder="1"/>
    <xf numFmtId="0" fontId="1" fillId="0" borderId="0" xfId="46" applyFill="1" applyBorder="1" applyAlignment="1">
      <alignment horizontal="center" vertical="center"/>
    </xf>
    <xf numFmtId="0" fontId="8" fillId="0" borderId="0" xfId="44" applyNumberFormat="1" applyFill="1" applyBorder="1" applyAlignment="1">
      <alignment vertical="center"/>
    </xf>
    <xf numFmtId="2" fontId="8" fillId="0" borderId="0" xfId="44" applyNumberFormat="1" applyFill="1" applyBorder="1" applyAlignment="1">
      <alignment horizontal="center" vertical="center"/>
    </xf>
    <xf numFmtId="0" fontId="8" fillId="0" borderId="0" xfId="44" applyNumberFormat="1" applyFill="1" applyBorder="1" applyAlignment="1">
      <alignment horizontal="right" vertical="center"/>
    </xf>
    <xf numFmtId="0" fontId="8" fillId="0" borderId="0" xfId="47" applyFont="1" applyFill="1" applyBorder="1" applyAlignment="1">
      <alignment vertical="center"/>
    </xf>
    <xf numFmtId="0" fontId="8" fillId="0" borderId="0" xfId="47" applyNumberFormat="1" applyFont="1" applyFill="1" applyBorder="1" applyAlignment="1">
      <alignment horizontal="right" vertical="center"/>
    </xf>
    <xf numFmtId="2" fontId="4" fillId="0" borderId="0" xfId="38" applyNumberFormat="1" applyFont="1" applyFill="1" applyBorder="1" applyAlignment="1">
      <alignment horizontal="right" wrapText="1"/>
    </xf>
    <xf numFmtId="0" fontId="8" fillId="0" borderId="0" xfId="44" applyNumberFormat="1" applyFill="1" applyBorder="1"/>
    <xf numFmtId="0" fontId="8" fillId="0" borderId="0" xfId="45" applyNumberFormat="1" applyFont="1" applyFill="1" applyBorder="1" applyAlignment="1">
      <alignment horizontal="right"/>
    </xf>
    <xf numFmtId="0" fontId="1" fillId="35" borderId="0" xfId="46" applyFill="1" applyBorder="1"/>
    <xf numFmtId="166" fontId="34" fillId="7" borderId="33" xfId="46" applyNumberFormat="1" applyFont="1" applyFill="1" applyBorder="1" applyAlignment="1">
      <alignment horizontal="center"/>
    </xf>
    <xf numFmtId="166" fontId="5" fillId="35" borderId="0" xfId="46" applyNumberFormat="1" applyFont="1" applyFill="1" applyBorder="1"/>
    <xf numFmtId="0" fontId="1" fillId="36" borderId="0" xfId="46" applyFill="1" applyBorder="1" applyAlignment="1">
      <alignment vertical="center"/>
    </xf>
    <xf numFmtId="0" fontId="8" fillId="0" borderId="0" xfId="44" applyFont="1" applyFill="1" applyBorder="1" applyAlignment="1">
      <alignment horizontal="center" vertical="center"/>
    </xf>
    <xf numFmtId="0" fontId="8" fillId="0" borderId="0" xfId="44" applyNumberFormat="1" applyFont="1" applyFill="1" applyBorder="1" applyAlignment="1">
      <alignment horizontal="right" vertical="center"/>
    </xf>
    <xf numFmtId="0" fontId="8" fillId="0" borderId="0" xfId="44" applyFill="1" applyBorder="1" applyAlignment="1">
      <alignment vertical="center"/>
    </xf>
    <xf numFmtId="0" fontId="1" fillId="36" borderId="0" xfId="46" applyFill="1" applyBorder="1"/>
    <xf numFmtId="0" fontId="36" fillId="0" borderId="12" xfId="51" applyNumberFormat="1" applyFill="1" applyBorder="1" applyAlignment="1">
      <alignment horizontal="right"/>
    </xf>
    <xf numFmtId="0" fontId="1" fillId="10" borderId="0" xfId="46" applyFill="1" applyBorder="1" applyAlignment="1">
      <alignment horizontal="center"/>
    </xf>
    <xf numFmtId="0" fontId="8" fillId="0" borderId="0" xfId="50" applyFill="1" applyBorder="1" applyAlignment="1">
      <alignment vertical="center"/>
    </xf>
    <xf numFmtId="0" fontId="1" fillId="10" borderId="0" xfId="46" applyFill="1" applyBorder="1"/>
    <xf numFmtId="166" fontId="5" fillId="10" borderId="0" xfId="46" applyNumberFormat="1" applyFont="1" applyFill="1" applyBorder="1"/>
    <xf numFmtId="0" fontId="8" fillId="0" borderId="0" xfId="48" applyNumberFormat="1" applyFill="1" applyBorder="1" applyAlignment="1">
      <alignment horizontal="right"/>
    </xf>
    <xf numFmtId="2" fontId="4" fillId="0" borderId="0" xfId="52" applyNumberFormat="1" applyFont="1" applyFill="1" applyBorder="1" applyAlignment="1">
      <alignment wrapText="1"/>
    </xf>
    <xf numFmtId="1" fontId="8" fillId="10" borderId="19" xfId="48" applyNumberFormat="1" applyFill="1" applyBorder="1"/>
    <xf numFmtId="1" fontId="8" fillId="0" borderId="0" xfId="48" applyNumberFormat="1" applyFill="1" applyBorder="1" applyAlignment="1">
      <alignment horizontal="left"/>
    </xf>
    <xf numFmtId="0" fontId="1" fillId="35" borderId="18" xfId="46" applyFill="1" applyBorder="1" applyAlignment="1">
      <alignment horizontal="center"/>
    </xf>
    <xf numFmtId="0" fontId="4" fillId="0" borderId="0" xfId="52" applyNumberFormat="1" applyFont="1" applyFill="1" applyBorder="1" applyAlignment="1">
      <alignment horizontal="right" wrapText="1"/>
    </xf>
    <xf numFmtId="0" fontId="1" fillId="0" borderId="0" xfId="46" applyFill="1" applyBorder="1" applyAlignment="1">
      <alignment horizontal="right" vertical="center"/>
    </xf>
    <xf numFmtId="0" fontId="1" fillId="34" borderId="27" xfId="46" applyFill="1" applyBorder="1" applyAlignment="1">
      <alignment horizontal="center"/>
    </xf>
    <xf numFmtId="0" fontId="1" fillId="34" borderId="23" xfId="46" applyFill="1" applyBorder="1" applyAlignment="1">
      <alignment horizontal="center"/>
    </xf>
    <xf numFmtId="0" fontId="1" fillId="9" borderId="23" xfId="46" applyFill="1" applyBorder="1" applyAlignment="1">
      <alignment horizontal="center"/>
    </xf>
    <xf numFmtId="3" fontId="1" fillId="9" borderId="23" xfId="46" applyNumberFormat="1" applyFill="1" applyBorder="1" applyAlignment="1">
      <alignment horizontal="center"/>
    </xf>
    <xf numFmtId="166" fontId="5" fillId="9" borderId="17" xfId="46" applyNumberFormat="1" applyFont="1" applyFill="1" applyBorder="1" applyAlignment="1">
      <alignment horizontal="center"/>
    </xf>
    <xf numFmtId="169" fontId="5" fillId="0" borderId="11" xfId="46" applyNumberFormat="1" applyFont="1" applyBorder="1" applyAlignment="1">
      <alignment horizontal="center"/>
    </xf>
    <xf numFmtId="0" fontId="1" fillId="32" borderId="27" xfId="46" applyFill="1" applyBorder="1" applyAlignment="1">
      <alignment horizontal="center"/>
    </xf>
    <xf numFmtId="0" fontId="1" fillId="32" borderId="23" xfId="46" applyFill="1" applyBorder="1" applyAlignment="1">
      <alignment horizontal="center"/>
    </xf>
    <xf numFmtId="0" fontId="1" fillId="0" borderId="20" xfId="46" applyBorder="1" applyAlignment="1">
      <alignment horizontal="center"/>
    </xf>
    <xf numFmtId="3" fontId="5" fillId="0" borderId="0" xfId="46" applyNumberFormat="1" applyFont="1" applyFill="1" applyBorder="1" applyAlignment="1">
      <alignment horizontal="center"/>
    </xf>
    <xf numFmtId="0" fontId="5" fillId="3" borderId="0" xfId="46" applyFont="1" applyFill="1" applyBorder="1" applyAlignment="1">
      <alignment horizontal="center"/>
    </xf>
    <xf numFmtId="0" fontId="5" fillId="0" borderId="0" xfId="46" applyFont="1" applyFill="1" applyBorder="1" applyAlignment="1">
      <alignment horizontal="center"/>
    </xf>
    <xf numFmtId="166" fontId="5" fillId="0" borderId="0" xfId="46" applyNumberFormat="1" applyFont="1" applyBorder="1" applyAlignment="1">
      <alignment horizontal="center"/>
    </xf>
    <xf numFmtId="0" fontId="34" fillId="0" borderId="27" xfId="46" applyFont="1" applyBorder="1"/>
    <xf numFmtId="0" fontId="34" fillId="0" borderId="23" xfId="46" applyFont="1" applyBorder="1"/>
    <xf numFmtId="0" fontId="34" fillId="0" borderId="23" xfId="46" applyNumberFormat="1" applyFont="1" applyBorder="1" applyAlignment="1">
      <alignment horizontal="right"/>
    </xf>
    <xf numFmtId="0" fontId="34" fillId="3" borderId="23" xfId="46" applyFont="1" applyFill="1" applyBorder="1"/>
    <xf numFmtId="0" fontId="34" fillId="0" borderId="20" xfId="46" applyFont="1" applyBorder="1" applyAlignment="1">
      <alignment horizontal="center"/>
    </xf>
    <xf numFmtId="0" fontId="34" fillId="0" borderId="23" xfId="46" applyFont="1" applyBorder="1" applyAlignment="1">
      <alignment horizontal="center"/>
    </xf>
    <xf numFmtId="3" fontId="34" fillId="8" borderId="20" xfId="46" applyNumberFormat="1" applyFont="1" applyFill="1" applyBorder="1" applyAlignment="1">
      <alignment horizontal="center"/>
    </xf>
    <xf numFmtId="3" fontId="34" fillId="7" borderId="20" xfId="46" applyNumberFormat="1" applyFont="1" applyFill="1" applyBorder="1" applyAlignment="1">
      <alignment horizontal="center"/>
    </xf>
    <xf numFmtId="166" fontId="35" fillId="9" borderId="23" xfId="46" applyNumberFormat="1" applyFont="1" applyFill="1" applyBorder="1" applyAlignment="1">
      <alignment horizontal="center"/>
    </xf>
    <xf numFmtId="166" fontId="35" fillId="0" borderId="23" xfId="46" applyNumberFormat="1" applyFont="1" applyBorder="1" applyAlignment="1">
      <alignment horizontal="center"/>
    </xf>
    <xf numFmtId="166" fontId="34" fillId="9" borderId="20" xfId="46" applyNumberFormat="1" applyFont="1" applyFill="1" applyBorder="1" applyAlignment="1">
      <alignment horizontal="center"/>
    </xf>
    <xf numFmtId="0" fontId="34" fillId="3" borderId="23" xfId="46" applyFont="1" applyFill="1" applyBorder="1" applyAlignment="1">
      <alignment horizontal="center"/>
    </xf>
    <xf numFmtId="3" fontId="35" fillId="0" borderId="23" xfId="46" applyNumberFormat="1" applyFont="1" applyBorder="1" applyAlignment="1">
      <alignment horizontal="center"/>
    </xf>
    <xf numFmtId="3" fontId="34" fillId="9" borderId="20" xfId="46" applyNumberFormat="1" applyFont="1" applyFill="1" applyBorder="1" applyAlignment="1">
      <alignment horizontal="center"/>
    </xf>
    <xf numFmtId="169" fontId="34" fillId="9" borderId="20" xfId="46" applyNumberFormat="1" applyFont="1" applyFill="1" applyBorder="1" applyAlignment="1">
      <alignment horizontal="center"/>
    </xf>
    <xf numFmtId="0" fontId="34" fillId="9" borderId="23" xfId="46" applyFont="1" applyFill="1" applyBorder="1"/>
    <xf numFmtId="0" fontId="34" fillId="0" borderId="0" xfId="46" applyFont="1"/>
    <xf numFmtId="3" fontId="5" fillId="0" borderId="0" xfId="46" applyNumberFormat="1" applyFont="1" applyFill="1"/>
    <xf numFmtId="0" fontId="5" fillId="0" borderId="0" xfId="46" applyNumberFormat="1" applyFont="1" applyFill="1" applyAlignment="1">
      <alignment horizontal="right"/>
    </xf>
    <xf numFmtId="166" fontId="1" fillId="0" borderId="0" xfId="46" applyNumberFormat="1" applyAlignment="1">
      <alignment horizontal="center"/>
    </xf>
    <xf numFmtId="0" fontId="1" fillId="0" borderId="0" xfId="46" applyAlignment="1">
      <alignment horizontal="right"/>
    </xf>
    <xf numFmtId="0" fontId="1" fillId="0" borderId="0" xfId="46" applyNumberFormat="1" applyAlignment="1">
      <alignment horizontal="right"/>
    </xf>
    <xf numFmtId="0" fontId="1" fillId="0" borderId="0" xfId="46" applyAlignment="1">
      <alignment horizontal="center"/>
    </xf>
    <xf numFmtId="3" fontId="1" fillId="0" borderId="0" xfId="46" applyNumberFormat="1" applyAlignment="1">
      <alignment horizontal="center"/>
    </xf>
    <xf numFmtId="169" fontId="1" fillId="0" borderId="0" xfId="46" applyNumberFormat="1" applyAlignment="1">
      <alignment horizontal="center"/>
    </xf>
    <xf numFmtId="166" fontId="1" fillId="0" borderId="0" xfId="46" applyNumberFormat="1" applyFill="1" applyBorder="1"/>
    <xf numFmtId="3" fontId="1" fillId="0" borderId="0" xfId="46" applyNumberFormat="1" applyFill="1" applyBorder="1"/>
    <xf numFmtId="0" fontId="8" fillId="0" borderId="0" xfId="46" applyNumberFormat="1" applyFont="1" applyFill="1" applyBorder="1" applyAlignment="1">
      <alignment horizontal="right"/>
    </xf>
    <xf numFmtId="0" fontId="1" fillId="0" borderId="0" xfId="46" applyFill="1" applyBorder="1" applyAlignment="1">
      <alignment horizontal="center"/>
    </xf>
    <xf numFmtId="3" fontId="1" fillId="0" borderId="0" xfId="46" applyNumberFormat="1" applyFill="1" applyBorder="1" applyAlignment="1">
      <alignment horizontal="center"/>
    </xf>
    <xf numFmtId="166" fontId="1" fillId="0" borderId="0" xfId="46" applyNumberFormat="1" applyFill="1" applyBorder="1" applyAlignment="1">
      <alignment horizontal="center"/>
    </xf>
    <xf numFmtId="169" fontId="1" fillId="0" borderId="0" xfId="46" applyNumberFormat="1" applyFill="1" applyBorder="1" applyAlignment="1">
      <alignment horizontal="center"/>
    </xf>
    <xf numFmtId="0" fontId="1" fillId="0" borderId="0" xfId="46" applyFill="1" applyBorder="1" applyAlignment="1">
      <alignment horizontal="right"/>
    </xf>
    <xf numFmtId="3" fontId="8" fillId="0" borderId="0" xfId="46" applyNumberFormat="1" applyFont="1" applyFill="1" applyBorder="1"/>
    <xf numFmtId="0" fontId="8" fillId="0" borderId="0" xfId="46" applyFont="1" applyFill="1" applyBorder="1" applyAlignment="1">
      <alignment horizontal="center"/>
    </xf>
    <xf numFmtId="3" fontId="8" fillId="0" borderId="0" xfId="46" applyNumberFormat="1" applyFont="1" applyFill="1" applyBorder="1" applyAlignment="1">
      <alignment horizontal="center"/>
    </xf>
    <xf numFmtId="166" fontId="8" fillId="0" borderId="0" xfId="46" applyNumberFormat="1" applyFont="1" applyFill="1" applyBorder="1" applyAlignment="1">
      <alignment horizontal="center"/>
    </xf>
    <xf numFmtId="0" fontId="8" fillId="0" borderId="0" xfId="46" applyFont="1" applyFill="1" applyBorder="1" applyAlignment="1">
      <alignment horizontal="right"/>
    </xf>
    <xf numFmtId="0" fontId="5" fillId="0" borderId="0" xfId="46" applyFont="1" applyFill="1" applyBorder="1"/>
    <xf numFmtId="3" fontId="5" fillId="0" borderId="0" xfId="46" applyNumberFormat="1" applyFont="1" applyFill="1" applyBorder="1"/>
    <xf numFmtId="0" fontId="5" fillId="0" borderId="0" xfId="46" applyNumberFormat="1" applyFont="1" applyFill="1" applyBorder="1" applyAlignment="1">
      <alignment horizontal="right"/>
    </xf>
    <xf numFmtId="3" fontId="5" fillId="0" borderId="0" xfId="44" applyNumberFormat="1" applyFont="1"/>
    <xf numFmtId="166" fontId="8" fillId="0" borderId="0" xfId="44" applyNumberFormat="1" applyFill="1" applyBorder="1" applyAlignment="1">
      <alignment horizontal="center"/>
    </xf>
    <xf numFmtId="0" fontId="6" fillId="5" borderId="83" xfId="23" applyFont="1" applyFill="1" applyBorder="1" applyProtection="1"/>
    <xf numFmtId="164" fontId="6" fillId="0" borderId="0" xfId="1" applyNumberFormat="1" applyFont="1" applyFill="1" applyBorder="1" applyAlignment="1" applyProtection="1">
      <alignment horizontal="center"/>
    </xf>
    <xf numFmtId="165" fontId="8" fillId="15" borderId="0" xfId="40" applyNumberFormat="1" applyFont="1" applyFill="1" applyBorder="1" applyProtection="1"/>
    <xf numFmtId="164" fontId="6" fillId="0" borderId="51" xfId="23" applyNumberFormat="1" applyFont="1" applyFill="1" applyBorder="1" applyAlignment="1" applyProtection="1">
      <alignment horizontal="center" vertical="center"/>
    </xf>
    <xf numFmtId="165" fontId="6" fillId="0" borderId="0" xfId="23" applyNumberFormat="1" applyFont="1" applyFill="1" applyBorder="1" applyAlignment="1" applyProtection="1">
      <alignment horizontal="center"/>
    </xf>
    <xf numFmtId="165" fontId="3" fillId="0" borderId="0" xfId="23" applyNumberFormat="1" applyFont="1" applyFill="1" applyBorder="1" applyAlignment="1" applyProtection="1">
      <alignment horizontal="center" wrapText="1"/>
    </xf>
    <xf numFmtId="171" fontId="0" fillId="0" borderId="0" xfId="0" applyNumberFormat="1" applyFill="1" applyAlignment="1">
      <alignment wrapText="1"/>
    </xf>
    <xf numFmtId="171" fontId="0" fillId="0" borderId="0" xfId="0" applyNumberFormat="1" applyFill="1"/>
    <xf numFmtId="4" fontId="0" fillId="0" borderId="0" xfId="0" applyNumberFormat="1" applyFill="1" applyAlignment="1">
      <alignment wrapText="1"/>
    </xf>
    <xf numFmtId="171" fontId="8" fillId="0" borderId="0" xfId="0" applyNumberFormat="1" applyFont="1" applyFill="1"/>
    <xf numFmtId="4" fontId="5" fillId="0" borderId="0" xfId="0" applyNumberFormat="1" applyFont="1" applyFill="1" applyAlignment="1">
      <alignment horizontal="center" wrapText="1"/>
    </xf>
    <xf numFmtId="0" fontId="2" fillId="0" borderId="0" xfId="0" applyFont="1" applyFill="1" applyAlignment="1">
      <alignment wrapText="1"/>
    </xf>
    <xf numFmtId="0" fontId="0" fillId="0" borderId="0" xfId="0" applyFill="1" applyAlignment="1">
      <alignment wrapText="1"/>
    </xf>
    <xf numFmtId="3" fontId="8" fillId="6" borderId="0" xfId="0" applyNumberFormat="1" applyFont="1" applyFill="1"/>
    <xf numFmtId="4" fontId="8" fillId="6" borderId="0" xfId="0" applyNumberFormat="1" applyFont="1" applyFill="1"/>
    <xf numFmtId="166" fontId="0" fillId="6" borderId="0" xfId="0" applyNumberFormat="1" applyFill="1"/>
    <xf numFmtId="3" fontId="8" fillId="7" borderId="0" xfId="0" applyNumberFormat="1" applyFont="1" applyFill="1"/>
    <xf numFmtId="3" fontId="0" fillId="6" borderId="0" xfId="0" applyNumberFormat="1" applyFill="1"/>
    <xf numFmtId="0" fontId="8" fillId="6" borderId="0" xfId="0" applyFont="1" applyFill="1" applyProtection="1">
      <protection locked="0"/>
    </xf>
    <xf numFmtId="4" fontId="5" fillId="0" borderId="0" xfId="0" applyNumberFormat="1" applyFont="1" applyFill="1"/>
    <xf numFmtId="168" fontId="0" fillId="0" borderId="0" xfId="0" applyNumberFormat="1" applyFill="1"/>
    <xf numFmtId="3" fontId="25" fillId="10" borderId="0" xfId="0" applyNumberFormat="1" applyFont="1" applyFill="1"/>
    <xf numFmtId="3" fontId="0" fillId="17" borderId="0" xfId="0" applyNumberFormat="1" applyFill="1"/>
    <xf numFmtId="0" fontId="0" fillId="17" borderId="0" xfId="0" applyNumberFormat="1" applyFill="1"/>
    <xf numFmtId="4" fontId="0" fillId="17" borderId="0" xfId="0" applyNumberFormat="1" applyFill="1"/>
    <xf numFmtId="10" fontId="0" fillId="0" borderId="0" xfId="0" applyNumberFormat="1" applyFill="1"/>
    <xf numFmtId="172" fontId="0" fillId="0" borderId="0" xfId="0" applyNumberFormat="1" applyFill="1"/>
    <xf numFmtId="166" fontId="0" fillId="0" borderId="0" xfId="46" applyNumberFormat="1" applyFont="1" applyFill="1" applyBorder="1"/>
    <xf numFmtId="0" fontId="39" fillId="37" borderId="0" xfId="1" applyFont="1" applyFill="1" applyAlignment="1">
      <alignment vertical="center"/>
    </xf>
    <xf numFmtId="0" fontId="8" fillId="10" borderId="0" xfId="1" applyFont="1" applyFill="1" applyAlignment="1">
      <alignment horizontal="left" vertical="center"/>
    </xf>
    <xf numFmtId="0" fontId="8" fillId="10" borderId="0" xfId="1" applyFill="1" applyAlignment="1">
      <alignment horizontal="center" vertical="center"/>
    </xf>
    <xf numFmtId="0" fontId="8" fillId="10" borderId="0" xfId="1" applyFill="1" applyAlignment="1">
      <alignment horizontal="left" vertical="center"/>
    </xf>
    <xf numFmtId="0" fontId="5" fillId="0" borderId="0" xfId="1" applyFont="1" applyAlignment="1">
      <alignment vertical="center"/>
    </xf>
    <xf numFmtId="0" fontId="5" fillId="0" borderId="0" xfId="1" applyFont="1" applyAlignment="1">
      <alignment horizontal="center" vertical="center"/>
    </xf>
    <xf numFmtId="0" fontId="40" fillId="37" borderId="0" xfId="1" applyFont="1" applyFill="1" applyAlignment="1">
      <alignment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vertical="center"/>
    </xf>
    <xf numFmtId="0" fontId="5" fillId="0" borderId="89" xfId="1" applyFont="1" applyFill="1" applyBorder="1" applyAlignment="1">
      <alignment horizontal="center" vertical="center"/>
    </xf>
    <xf numFmtId="0" fontId="5" fillId="10" borderId="90" xfId="1" applyFont="1" applyFill="1" applyBorder="1" applyAlignment="1">
      <alignment horizontal="center" vertical="center" wrapText="1"/>
    </xf>
    <xf numFmtId="0" fontId="5" fillId="10" borderId="89" xfId="1" applyFont="1" applyFill="1" applyBorder="1" applyAlignment="1">
      <alignment horizontal="center" vertical="center" wrapText="1"/>
    </xf>
    <xf numFmtId="0" fontId="5" fillId="0" borderId="89" xfId="1" applyFont="1" applyBorder="1" applyAlignment="1">
      <alignment horizontal="center" vertical="center"/>
    </xf>
    <xf numFmtId="0" fontId="5" fillId="0" borderId="91" xfId="1" applyFont="1" applyBorder="1" applyAlignment="1">
      <alignment horizontal="center" vertical="center"/>
    </xf>
    <xf numFmtId="0" fontId="5" fillId="0" borderId="92" xfId="1" applyFont="1" applyBorder="1" applyAlignment="1">
      <alignment horizontal="center" vertical="center"/>
    </xf>
    <xf numFmtId="0" fontId="5" fillId="7" borderId="0" xfId="1" applyFont="1" applyFill="1" applyAlignment="1">
      <alignment horizontal="center" vertical="center" wrapText="1"/>
    </xf>
    <xf numFmtId="0" fontId="39" fillId="37" borderId="0" xfId="1" applyNumberFormat="1" applyFont="1" applyFill="1" applyAlignment="1">
      <alignment vertical="center"/>
    </xf>
    <xf numFmtId="0" fontId="8" fillId="0" borderId="95" xfId="43" applyFill="1" applyBorder="1" applyAlignment="1">
      <alignment horizontal="center" vertical="center"/>
    </xf>
    <xf numFmtId="0" fontId="8" fillId="0" borderId="84" xfId="43" applyFont="1" applyFill="1" applyBorder="1" applyAlignment="1">
      <alignment horizontal="center" vertical="center"/>
    </xf>
    <xf numFmtId="0" fontId="8" fillId="0" borderId="84" xfId="43" applyFill="1" applyBorder="1" applyAlignment="1">
      <alignment horizontal="center" vertical="center"/>
    </xf>
    <xf numFmtId="0" fontId="8" fillId="0" borderId="84" xfId="43" applyFill="1" applyBorder="1" applyAlignment="1">
      <alignment vertical="center"/>
    </xf>
    <xf numFmtId="3" fontId="8" fillId="0" borderId="96" xfId="1" applyNumberFormat="1" applyFont="1" applyFill="1" applyBorder="1" applyAlignment="1">
      <alignment horizontal="center" vertical="center"/>
    </xf>
    <xf numFmtId="3" fontId="8" fillId="0" borderId="97" xfId="1" applyNumberFormat="1" applyFont="1" applyFill="1" applyBorder="1" applyAlignment="1">
      <alignment horizontal="center" vertical="center"/>
    </xf>
    <xf numFmtId="3" fontId="8" fillId="0" borderId="98" xfId="1" applyNumberFormat="1" applyFont="1" applyFill="1" applyBorder="1" applyAlignment="1">
      <alignment horizontal="center" vertical="center"/>
    </xf>
    <xf numFmtId="3" fontId="8" fillId="10" borderId="98" xfId="1" applyNumberFormat="1" applyFont="1" applyFill="1" applyBorder="1" applyAlignment="1">
      <alignment horizontal="center" vertical="center"/>
    </xf>
    <xf numFmtId="3" fontId="8" fillId="0" borderId="99" xfId="1" applyNumberFormat="1" applyFont="1" applyFill="1" applyBorder="1" applyAlignment="1">
      <alignment horizontal="center" vertical="center"/>
    </xf>
    <xf numFmtId="3" fontId="5" fillId="0" borderId="96" xfId="1" applyNumberFormat="1" applyFont="1" applyFill="1" applyBorder="1" applyAlignment="1">
      <alignment horizontal="center" vertical="center"/>
    </xf>
    <xf numFmtId="3" fontId="5" fillId="0" borderId="98" xfId="1" applyNumberFormat="1" applyFont="1" applyFill="1" applyBorder="1" applyAlignment="1">
      <alignment horizontal="center" vertical="center"/>
    </xf>
    <xf numFmtId="3" fontId="5" fillId="7" borderId="98" xfId="1" applyNumberFormat="1" applyFont="1" applyFill="1" applyBorder="1" applyAlignment="1">
      <alignment horizontal="center" vertical="center"/>
    </xf>
    <xf numFmtId="3" fontId="5" fillId="0" borderId="100" xfId="1" applyNumberFormat="1" applyFont="1" applyFill="1" applyBorder="1" applyAlignment="1">
      <alignment horizontal="center" vertical="center"/>
    </xf>
    <xf numFmtId="3" fontId="5" fillId="0" borderId="95" xfId="1" applyNumberFormat="1" applyFont="1" applyFill="1" applyBorder="1" applyAlignment="1">
      <alignment horizontal="center" vertical="center"/>
    </xf>
    <xf numFmtId="3" fontId="5" fillId="0" borderId="0" xfId="1" applyNumberFormat="1" applyFont="1" applyAlignment="1">
      <alignment horizontal="center" vertical="center"/>
    </xf>
    <xf numFmtId="3" fontId="5" fillId="7" borderId="0" xfId="1" applyNumberFormat="1" applyFont="1" applyFill="1" applyAlignment="1">
      <alignment horizontal="center" vertical="center"/>
    </xf>
    <xf numFmtId="0" fontId="8" fillId="0" borderId="28" xfId="43" applyFill="1" applyBorder="1" applyAlignment="1">
      <alignment horizontal="center" vertical="center"/>
    </xf>
    <xf numFmtId="0" fontId="8" fillId="0" borderId="101" xfId="43" applyFont="1" applyFill="1" applyBorder="1" applyAlignment="1">
      <alignment horizontal="center" vertical="center"/>
    </xf>
    <xf numFmtId="0" fontId="8" fillId="0" borderId="101" xfId="43" applyFill="1" applyBorder="1" applyAlignment="1">
      <alignment horizontal="center" vertical="center"/>
    </xf>
    <xf numFmtId="0" fontId="8" fillId="0" borderId="101" xfId="43" applyFill="1" applyBorder="1" applyAlignment="1">
      <alignment vertical="center"/>
    </xf>
    <xf numFmtId="3" fontId="8" fillId="0" borderId="102" xfId="1" applyNumberFormat="1" applyFont="1" applyFill="1" applyBorder="1" applyAlignment="1">
      <alignment horizontal="center" vertical="center"/>
    </xf>
    <xf numFmtId="3" fontId="8" fillId="0" borderId="103" xfId="1" applyNumberFormat="1" applyFont="1" applyFill="1" applyBorder="1" applyAlignment="1">
      <alignment horizontal="center" vertical="center"/>
    </xf>
    <xf numFmtId="3" fontId="8" fillId="0" borderId="53" xfId="1" applyNumberFormat="1" applyFont="1" applyFill="1" applyBorder="1" applyAlignment="1">
      <alignment horizontal="center" vertical="center"/>
    </xf>
    <xf numFmtId="3" fontId="8" fillId="0" borderId="104" xfId="1" applyNumberFormat="1" applyFont="1" applyFill="1" applyBorder="1" applyAlignment="1">
      <alignment horizontal="center" vertical="center"/>
    </xf>
    <xf numFmtId="3" fontId="5" fillId="0" borderId="102" xfId="1" applyNumberFormat="1" applyFont="1" applyFill="1" applyBorder="1" applyAlignment="1">
      <alignment horizontal="center" vertical="center"/>
    </xf>
    <xf numFmtId="3" fontId="5" fillId="0" borderId="35" xfId="1" applyNumberFormat="1" applyFont="1" applyFill="1" applyBorder="1" applyAlignment="1">
      <alignment horizontal="center" vertical="center"/>
    </xf>
    <xf numFmtId="3" fontId="5" fillId="0" borderId="28" xfId="1" applyNumberFormat="1" applyFont="1" applyFill="1" applyBorder="1" applyAlignment="1">
      <alignment horizontal="center" vertical="center"/>
    </xf>
    <xf numFmtId="3" fontId="8" fillId="6" borderId="103" xfId="1" applyNumberFormat="1" applyFont="1" applyFill="1" applyBorder="1" applyAlignment="1">
      <alignment horizontal="center" vertical="center"/>
    </xf>
    <xf numFmtId="3" fontId="8" fillId="6" borderId="53" xfId="1" applyNumberFormat="1" applyFont="1" applyFill="1" applyBorder="1" applyAlignment="1">
      <alignment horizontal="center" vertical="center"/>
    </xf>
    <xf numFmtId="3" fontId="8" fillId="6" borderId="104" xfId="1" applyNumberFormat="1" applyFont="1" applyFill="1" applyBorder="1" applyAlignment="1">
      <alignment horizontal="center" vertical="center"/>
    </xf>
    <xf numFmtId="3" fontId="5" fillId="6" borderId="35" xfId="1" applyNumberFormat="1" applyFont="1" applyFill="1" applyBorder="1" applyAlignment="1">
      <alignment horizontal="center" vertical="center"/>
    </xf>
    <xf numFmtId="3" fontId="8" fillId="10" borderId="103" xfId="1" applyNumberFormat="1" applyFont="1" applyFill="1" applyBorder="1" applyAlignment="1">
      <alignment horizontal="center" vertical="center"/>
    </xf>
    <xf numFmtId="3" fontId="8" fillId="10" borderId="53" xfId="1" applyNumberFormat="1" applyFont="1" applyFill="1" applyBorder="1" applyAlignment="1">
      <alignment horizontal="center" vertical="center"/>
    </xf>
    <xf numFmtId="3" fontId="5" fillId="0" borderId="102" xfId="1" applyNumberFormat="1" applyFont="1" applyFill="1" applyBorder="1" applyAlignment="1">
      <alignment horizontal="center" vertical="center" wrapText="1"/>
    </xf>
    <xf numFmtId="3" fontId="5" fillId="0" borderId="35" xfId="1" applyNumberFormat="1" applyFont="1" applyFill="1" applyBorder="1" applyAlignment="1">
      <alignment horizontal="center" vertical="center" wrapText="1"/>
    </xf>
    <xf numFmtId="3" fontId="5" fillId="0" borderId="28" xfId="1" applyNumberFormat="1" applyFont="1" applyFill="1" applyBorder="1" applyAlignment="1">
      <alignment horizontal="center" vertical="center" wrapText="1"/>
    </xf>
    <xf numFmtId="0" fontId="8" fillId="0" borderId="0" xfId="43" applyAlignment="1">
      <alignment horizontal="center" vertical="center"/>
    </xf>
    <xf numFmtId="0" fontId="8" fillId="0" borderId="0" xfId="1" applyAlignment="1">
      <alignment vertical="center"/>
    </xf>
    <xf numFmtId="0" fontId="8" fillId="0" borderId="105" xfId="43" applyFill="1" applyBorder="1" applyAlignment="1">
      <alignment horizontal="center" vertical="center"/>
    </xf>
    <xf numFmtId="0" fontId="8" fillId="0" borderId="106" xfId="43" applyFont="1" applyFill="1" applyBorder="1" applyAlignment="1">
      <alignment horizontal="center" vertical="center"/>
    </xf>
    <xf numFmtId="0" fontId="8" fillId="0" borderId="106" xfId="43" applyFill="1" applyBorder="1" applyAlignment="1">
      <alignment horizontal="center" vertical="center"/>
    </xf>
    <xf numFmtId="0" fontId="8" fillId="0" borderId="105" xfId="43" applyFill="1" applyBorder="1" applyAlignment="1">
      <alignment vertical="center"/>
    </xf>
    <xf numFmtId="0" fontId="5" fillId="0" borderId="0" xfId="1" applyFont="1" applyAlignment="1">
      <alignment horizontal="right" vertical="center"/>
    </xf>
    <xf numFmtId="3" fontId="5" fillId="0" borderId="107" xfId="1" applyNumberFormat="1" applyFont="1" applyFill="1" applyBorder="1" applyAlignment="1">
      <alignment horizontal="center" vertical="center"/>
    </xf>
    <xf numFmtId="3" fontId="5" fillId="0" borderId="108" xfId="1" applyNumberFormat="1" applyFont="1" applyFill="1" applyBorder="1" applyAlignment="1">
      <alignment horizontal="center" vertical="center"/>
    </xf>
    <xf numFmtId="3" fontId="5" fillId="0" borderId="109" xfId="1" applyNumberFormat="1" applyFont="1" applyFill="1" applyBorder="1" applyAlignment="1">
      <alignment horizontal="center" vertical="center"/>
    </xf>
    <xf numFmtId="3" fontId="5" fillId="7" borderId="108" xfId="1" applyNumberFormat="1" applyFont="1" applyFill="1" applyBorder="1" applyAlignment="1">
      <alignment horizontal="center" vertical="center"/>
    </xf>
    <xf numFmtId="3" fontId="5" fillId="0" borderId="110" xfId="1" applyNumberFormat="1" applyFont="1" applyFill="1" applyBorder="1" applyAlignment="1">
      <alignment horizontal="center" vertical="center"/>
    </xf>
    <xf numFmtId="3" fontId="5" fillId="0" borderId="111" xfId="1" applyNumberFormat="1" applyFont="1" applyFill="1" applyBorder="1" applyAlignment="1">
      <alignment horizontal="center" vertical="center"/>
    </xf>
    <xf numFmtId="3" fontId="5" fillId="7" borderId="110" xfId="1" applyNumberFormat="1" applyFont="1" applyFill="1" applyBorder="1" applyAlignment="1">
      <alignment horizontal="center" vertical="center"/>
    </xf>
    <xf numFmtId="0" fontId="8" fillId="0" borderId="0" xfId="1" applyAlignment="1">
      <alignment horizontal="center" vertical="center"/>
    </xf>
    <xf numFmtId="0" fontId="8" fillId="0" borderId="0" xfId="1" applyFill="1" applyAlignment="1">
      <alignment horizontal="center" vertical="center"/>
    </xf>
    <xf numFmtId="0" fontId="5" fillId="0" borderId="0" xfId="1" applyFont="1" applyFill="1" applyAlignment="1">
      <alignment horizontal="center" vertical="center"/>
    </xf>
    <xf numFmtId="0" fontId="39" fillId="0" borderId="0" xfId="1" applyFont="1" applyFill="1" applyAlignment="1">
      <alignment vertical="center"/>
    </xf>
    <xf numFmtId="0" fontId="8" fillId="0" borderId="0" xfId="1" applyBorder="1" applyAlignment="1">
      <alignment vertical="center"/>
    </xf>
    <xf numFmtId="0" fontId="8" fillId="0" borderId="0" xfId="1" applyFill="1" applyAlignment="1">
      <alignment vertical="center"/>
    </xf>
    <xf numFmtId="0" fontId="5" fillId="0" borderId="0" xfId="1" applyFont="1" applyFill="1" applyAlignment="1">
      <alignment vertical="center"/>
    </xf>
    <xf numFmtId="0" fontId="5" fillId="0" borderId="112" xfId="1" applyFont="1" applyFill="1" applyBorder="1" applyAlignment="1">
      <alignment horizontal="center" vertical="center" wrapText="1"/>
    </xf>
    <xf numFmtId="0" fontId="5" fillId="0" borderId="112" xfId="1" applyFont="1" applyBorder="1" applyAlignment="1">
      <alignment horizontal="center" vertical="center" wrapText="1"/>
    </xf>
    <xf numFmtId="0" fontId="5" fillId="0" borderId="91" xfId="1" applyFont="1" applyFill="1" applyBorder="1" applyAlignment="1">
      <alignment horizontal="center" vertical="center" wrapText="1"/>
    </xf>
    <xf numFmtId="0" fontId="5" fillId="0" borderId="91" xfId="1" applyFont="1" applyFill="1" applyBorder="1" applyAlignment="1">
      <alignment horizontal="center" vertical="center"/>
    </xf>
    <xf numFmtId="0" fontId="5" fillId="0" borderId="89" xfId="1" applyFont="1" applyBorder="1" applyAlignment="1">
      <alignment horizontal="center" vertical="center" wrapText="1"/>
    </xf>
    <xf numFmtId="0" fontId="5" fillId="0" borderId="91" xfId="1" applyFont="1" applyBorder="1" applyAlignment="1">
      <alignment horizontal="center" vertical="center" wrapText="1"/>
    </xf>
    <xf numFmtId="0" fontId="5" fillId="7" borderId="91" xfId="1" applyFont="1" applyFill="1" applyBorder="1" applyAlignment="1">
      <alignment horizontal="center" vertical="center" wrapText="1"/>
    </xf>
    <xf numFmtId="0" fontId="5" fillId="0" borderId="92" xfId="1" applyFont="1" applyBorder="1" applyAlignment="1">
      <alignment horizontal="center" vertical="center" wrapText="1"/>
    </xf>
    <xf numFmtId="0" fontId="5" fillId="0" borderId="105" xfId="1" applyFont="1" applyFill="1" applyBorder="1" applyAlignment="1">
      <alignment horizontal="center" vertical="center" wrapText="1"/>
    </xf>
    <xf numFmtId="0" fontId="8" fillId="0" borderId="0" xfId="1" applyAlignment="1">
      <alignment horizontal="left" vertical="center"/>
    </xf>
    <xf numFmtId="0" fontId="8" fillId="0" borderId="113" xfId="1" applyFill="1" applyBorder="1" applyAlignment="1">
      <alignment horizontal="center" vertical="center"/>
    </xf>
    <xf numFmtId="0" fontId="8" fillId="0" borderId="113" xfId="1" applyBorder="1" applyAlignment="1">
      <alignment horizontal="center" vertical="center"/>
    </xf>
    <xf numFmtId="0" fontId="8" fillId="0" borderId="75" xfId="1" applyFill="1" applyBorder="1" applyAlignment="1">
      <alignment horizontal="center" vertical="center"/>
    </xf>
    <xf numFmtId="0" fontId="8" fillId="0" borderId="75" xfId="1" applyBorder="1" applyAlignment="1">
      <alignment horizontal="center" vertical="center"/>
    </xf>
    <xf numFmtId="0" fontId="8" fillId="0" borderId="72" xfId="1" applyBorder="1" applyAlignment="1">
      <alignment horizontal="center" vertical="center"/>
    </xf>
    <xf numFmtId="0" fontId="5" fillId="0" borderId="113" xfId="1" applyFont="1" applyFill="1" applyBorder="1" applyAlignment="1">
      <alignment horizontal="center" vertical="center"/>
    </xf>
    <xf numFmtId="0" fontId="5" fillId="0" borderId="75" xfId="1" applyFont="1" applyBorder="1" applyAlignment="1">
      <alignment horizontal="center" vertical="center"/>
    </xf>
    <xf numFmtId="0" fontId="5" fillId="7" borderId="75" xfId="1" applyFont="1" applyFill="1" applyBorder="1" applyAlignment="1">
      <alignment horizontal="center" vertical="center"/>
    </xf>
    <xf numFmtId="0" fontId="5" fillId="0" borderId="72" xfId="1" applyFont="1" applyBorder="1" applyAlignment="1">
      <alignment horizontal="center" vertical="center"/>
    </xf>
    <xf numFmtId="0" fontId="5" fillId="0" borderId="114" xfId="1" applyFont="1" applyFill="1" applyBorder="1" applyAlignment="1">
      <alignment horizontal="center" vertical="center"/>
    </xf>
    <xf numFmtId="0" fontId="8" fillId="0" borderId="102" xfId="1" applyFill="1" applyBorder="1" applyAlignment="1">
      <alignment horizontal="center" vertical="center"/>
    </xf>
    <xf numFmtId="0" fontId="8" fillId="0" borderId="102" xfId="1" applyBorder="1" applyAlignment="1">
      <alignment horizontal="center" vertical="center"/>
    </xf>
    <xf numFmtId="0" fontId="8" fillId="0" borderId="53" xfId="1" applyFill="1" applyBorder="1" applyAlignment="1">
      <alignment horizontal="center" vertical="center"/>
    </xf>
    <xf numFmtId="0" fontId="8" fillId="0" borderId="53" xfId="1" applyBorder="1" applyAlignment="1">
      <alignment horizontal="center" vertical="center"/>
    </xf>
    <xf numFmtId="0" fontId="8" fillId="0" borderId="104" xfId="1" applyBorder="1" applyAlignment="1">
      <alignment horizontal="center" vertical="center"/>
    </xf>
    <xf numFmtId="0" fontId="5" fillId="0" borderId="102" xfId="1" applyFont="1" applyFill="1" applyBorder="1" applyAlignment="1">
      <alignment horizontal="center" vertical="center"/>
    </xf>
    <xf numFmtId="0" fontId="5" fillId="0" borderId="53" xfId="1" applyFont="1" applyBorder="1" applyAlignment="1">
      <alignment horizontal="center" vertical="center"/>
    </xf>
    <xf numFmtId="0" fontId="5" fillId="7" borderId="53" xfId="1" applyFont="1" applyFill="1" applyBorder="1" applyAlignment="1">
      <alignment horizontal="center" vertical="center"/>
    </xf>
    <xf numFmtId="0" fontId="5" fillId="0" borderId="104" xfId="1" applyFont="1" applyBorder="1" applyAlignment="1">
      <alignment horizontal="center" vertical="center"/>
    </xf>
    <xf numFmtId="0" fontId="5" fillId="0" borderId="28" xfId="1" applyFont="1" applyFill="1" applyBorder="1" applyAlignment="1">
      <alignment horizontal="center" vertical="center"/>
    </xf>
    <xf numFmtId="0" fontId="8" fillId="0" borderId="115" xfId="1" applyFill="1" applyBorder="1" applyAlignment="1">
      <alignment horizontal="center" vertical="center"/>
    </xf>
    <xf numFmtId="0" fontId="8" fillId="0" borderId="115" xfId="1" applyBorder="1" applyAlignment="1">
      <alignment horizontal="center" vertical="center"/>
    </xf>
    <xf numFmtId="0" fontId="8" fillId="0" borderId="116" xfId="1" applyFill="1" applyBorder="1" applyAlignment="1">
      <alignment horizontal="center" vertical="center"/>
    </xf>
    <xf numFmtId="0" fontId="8" fillId="0" borderId="116" xfId="1" applyBorder="1" applyAlignment="1">
      <alignment horizontal="center" vertical="center"/>
    </xf>
    <xf numFmtId="0" fontId="8" fillId="0" borderId="117" xfId="1" applyBorder="1" applyAlignment="1">
      <alignment horizontal="center" vertical="center"/>
    </xf>
    <xf numFmtId="0" fontId="5" fillId="0" borderId="115" xfId="1" applyFont="1" applyFill="1" applyBorder="1" applyAlignment="1">
      <alignment horizontal="center" vertical="center"/>
    </xf>
    <xf numFmtId="0" fontId="5" fillId="0" borderId="116" xfId="1" applyFont="1" applyBorder="1" applyAlignment="1">
      <alignment horizontal="center" vertical="center"/>
    </xf>
    <xf numFmtId="0" fontId="5" fillId="7" borderId="116" xfId="1" applyFont="1" applyFill="1" applyBorder="1" applyAlignment="1">
      <alignment horizontal="center" vertical="center"/>
    </xf>
    <xf numFmtId="0" fontId="5" fillId="0" borderId="117" xfId="1" applyFont="1" applyBorder="1" applyAlignment="1">
      <alignment horizontal="center" vertical="center"/>
    </xf>
    <xf numFmtId="0" fontId="5" fillId="0" borderId="118" xfId="1" applyFont="1" applyFill="1" applyBorder="1" applyAlignment="1">
      <alignment horizontal="center" vertical="center"/>
    </xf>
    <xf numFmtId="0" fontId="5" fillId="0" borderId="90" xfId="1" applyFont="1" applyFill="1" applyBorder="1" applyAlignment="1">
      <alignment horizontal="center" vertical="center"/>
    </xf>
    <xf numFmtId="0" fontId="5" fillId="0" borderId="90" xfId="1" applyFont="1" applyBorder="1" applyAlignment="1">
      <alignment horizontal="center" vertical="center"/>
    </xf>
    <xf numFmtId="0" fontId="5" fillId="0" borderId="119" xfId="1" applyFont="1" applyBorder="1" applyAlignment="1">
      <alignment horizontal="center" vertical="center"/>
    </xf>
    <xf numFmtId="0" fontId="5" fillId="7" borderId="89" xfId="1" applyFont="1" applyFill="1" applyBorder="1" applyAlignment="1">
      <alignment horizontal="center" vertical="center"/>
    </xf>
    <xf numFmtId="0" fontId="5" fillId="0" borderId="111" xfId="1" applyFont="1" applyFill="1" applyBorder="1" applyAlignment="1">
      <alignment horizontal="center" vertical="center"/>
    </xf>
    <xf numFmtId="0" fontId="5" fillId="7" borderId="0" xfId="1" applyFont="1" applyFill="1" applyAlignment="1">
      <alignment horizontal="center" vertical="center"/>
    </xf>
    <xf numFmtId="0" fontId="8" fillId="7" borderId="0" xfId="1" applyFill="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3" fontId="8" fillId="0" borderId="0" xfId="1" applyNumberFormat="1" applyFont="1" applyFill="1" applyAlignment="1">
      <alignment horizontal="center" vertical="center"/>
    </xf>
    <xf numFmtId="3" fontId="8" fillId="0" borderId="0" xfId="1" applyNumberFormat="1" applyFont="1" applyAlignment="1">
      <alignment horizontal="center" vertical="center"/>
    </xf>
    <xf numFmtId="3" fontId="8" fillId="0" borderId="18" xfId="1" applyNumberFormat="1" applyFont="1" applyFill="1" applyBorder="1" applyAlignment="1">
      <alignment horizontal="center" vertical="center"/>
    </xf>
    <xf numFmtId="3" fontId="8" fillId="0" borderId="0" xfId="1" applyNumberFormat="1" applyFont="1" applyBorder="1" applyAlignment="1">
      <alignment horizontal="center" vertical="center"/>
    </xf>
    <xf numFmtId="3" fontId="8" fillId="7" borderId="0" xfId="1" applyNumberFormat="1" applyFont="1" applyFill="1" applyBorder="1" applyAlignment="1">
      <alignment horizontal="center" vertical="center"/>
    </xf>
    <xf numFmtId="3" fontId="8" fillId="0" borderId="26" xfId="1" applyNumberFormat="1" applyFont="1" applyBorder="1" applyAlignment="1">
      <alignment horizontal="center" vertical="center"/>
    </xf>
    <xf numFmtId="3" fontId="8" fillId="7" borderId="0" xfId="1" applyNumberFormat="1" applyFont="1" applyFill="1" applyAlignment="1">
      <alignment horizontal="center" vertical="center"/>
    </xf>
    <xf numFmtId="0" fontId="8" fillId="0" borderId="0" xfId="1" applyFont="1" applyAlignment="1">
      <alignment vertical="center"/>
    </xf>
    <xf numFmtId="0" fontId="8" fillId="0" borderId="0" xfId="1" applyFont="1" applyFill="1" applyAlignment="1">
      <alignment horizontal="center" vertical="center"/>
    </xf>
    <xf numFmtId="0" fontId="8" fillId="0" borderId="18" xfId="1" applyFont="1" applyFill="1" applyBorder="1" applyAlignment="1">
      <alignment horizontal="center" vertical="center"/>
    </xf>
    <xf numFmtId="0" fontId="8" fillId="0" borderId="0" xfId="1" applyFont="1" applyBorder="1" applyAlignment="1">
      <alignment horizontal="center" vertical="center"/>
    </xf>
    <xf numFmtId="0" fontId="8" fillId="7" borderId="0" xfId="1" applyFont="1" applyFill="1" applyBorder="1" applyAlignment="1">
      <alignment horizontal="center" vertical="center"/>
    </xf>
    <xf numFmtId="0" fontId="8" fillId="0" borderId="26" xfId="1" applyFont="1" applyBorder="1" applyAlignment="1">
      <alignment horizontal="center" vertical="center"/>
    </xf>
    <xf numFmtId="0" fontId="8" fillId="7" borderId="0" xfId="1" applyFont="1" applyFill="1" applyAlignment="1">
      <alignment horizontal="center" vertical="center"/>
    </xf>
    <xf numFmtId="0" fontId="5" fillId="0" borderId="0" xfId="1" applyFont="1" applyAlignment="1">
      <alignment horizontal="left" vertical="center"/>
    </xf>
    <xf numFmtId="0" fontId="5" fillId="0" borderId="18" xfId="1" applyFont="1" applyFill="1" applyBorder="1" applyAlignment="1">
      <alignment horizontal="center" vertical="center"/>
    </xf>
    <xf numFmtId="0" fontId="5" fillId="0" borderId="0" xfId="1" applyFont="1" applyBorder="1" applyAlignment="1">
      <alignment horizontal="center" vertical="center"/>
    </xf>
    <xf numFmtId="0" fontId="5" fillId="7" borderId="0" xfId="1" applyFont="1" applyFill="1" applyBorder="1" applyAlignment="1">
      <alignment horizontal="center" vertical="center"/>
    </xf>
    <xf numFmtId="0" fontId="5" fillId="0" borderId="26" xfId="1" applyFont="1" applyBorder="1" applyAlignment="1">
      <alignment horizontal="center" vertical="center"/>
    </xf>
    <xf numFmtId="3" fontId="5" fillId="0" borderId="120" xfId="1" applyNumberFormat="1" applyFont="1" applyFill="1" applyBorder="1" applyAlignment="1">
      <alignment horizontal="center" vertical="center"/>
    </xf>
    <xf numFmtId="3" fontId="5" fillId="0" borderId="120" xfId="1" applyNumberFormat="1" applyFont="1" applyBorder="1" applyAlignment="1">
      <alignment horizontal="center" vertical="center"/>
    </xf>
    <xf numFmtId="3" fontId="5" fillId="0" borderId="121" xfId="1" applyNumberFormat="1" applyFont="1" applyFill="1" applyBorder="1" applyAlignment="1">
      <alignment horizontal="center" vertical="center"/>
    </xf>
    <xf numFmtId="3" fontId="5" fillId="7" borderId="120" xfId="1" applyNumberFormat="1" applyFont="1" applyFill="1" applyBorder="1" applyAlignment="1">
      <alignment horizontal="center" vertical="center"/>
    </xf>
    <xf numFmtId="3" fontId="5" fillId="0" borderId="122" xfId="1" applyNumberFormat="1" applyFont="1" applyBorder="1" applyAlignment="1">
      <alignment horizontal="center" vertical="center"/>
    </xf>
    <xf numFmtId="0" fontId="8" fillId="0" borderId="0" xfId="0" applyFont="1"/>
    <xf numFmtId="0" fontId="8" fillId="0" borderId="0" xfId="0" applyNumberFormat="1" applyFont="1"/>
    <xf numFmtId="2" fontId="0" fillId="0" borderId="0" xfId="0" applyNumberFormat="1" applyAlignment="1">
      <alignment horizontal="center"/>
    </xf>
    <xf numFmtId="2" fontId="0" fillId="0" borderId="0" xfId="0" applyNumberFormat="1"/>
    <xf numFmtId="10" fontId="0" fillId="0" borderId="0" xfId="0" applyNumberFormat="1"/>
    <xf numFmtId="0" fontId="5" fillId="8" borderId="0" xfId="0" applyFont="1" applyFill="1" applyAlignment="1">
      <alignment wrapText="1"/>
    </xf>
    <xf numFmtId="0" fontId="8" fillId="0" borderId="0" xfId="0" applyNumberFormat="1" applyFont="1" applyFill="1" applyAlignment="1">
      <alignment horizontal="center" wrapText="1"/>
    </xf>
    <xf numFmtId="2" fontId="0" fillId="7" borderId="0" xfId="0" applyNumberFormat="1" applyFill="1" applyAlignment="1">
      <alignment horizontal="center" wrapText="1"/>
    </xf>
    <xf numFmtId="2" fontId="0" fillId="7" borderId="0" xfId="0" applyNumberFormat="1" applyFill="1" applyAlignment="1">
      <alignment wrapText="1"/>
    </xf>
    <xf numFmtId="2" fontId="0" fillId="8" borderId="0" xfId="0" applyNumberFormat="1" applyFill="1"/>
    <xf numFmtId="2" fontId="0" fillId="8" borderId="0" xfId="0" applyNumberFormat="1" applyFill="1" applyAlignment="1">
      <alignment horizontal="center" wrapText="1"/>
    </xf>
    <xf numFmtId="0" fontId="0" fillId="8" borderId="0" xfId="0" applyFill="1" applyAlignment="1">
      <alignment horizontal="center" wrapText="1"/>
    </xf>
    <xf numFmtId="0" fontId="0" fillId="15" borderId="0" xfId="0" applyFill="1" applyAlignment="1">
      <alignment horizontal="center" wrapText="1"/>
    </xf>
    <xf numFmtId="0" fontId="0" fillId="15" borderId="0" xfId="0" applyFill="1"/>
    <xf numFmtId="10" fontId="0" fillId="8" borderId="0" xfId="0" applyNumberFormat="1" applyFill="1" applyAlignment="1">
      <alignment horizontal="center" wrapText="1"/>
    </xf>
    <xf numFmtId="0" fontId="0" fillId="7" borderId="0" xfId="0" applyFill="1" applyAlignment="1">
      <alignment horizontal="center" wrapText="1"/>
    </xf>
    <xf numFmtId="0" fontId="0" fillId="8" borderId="0" xfId="0" applyFill="1"/>
    <xf numFmtId="0" fontId="0" fillId="7" borderId="0" xfId="0" applyFill="1"/>
    <xf numFmtId="0" fontId="0" fillId="0" borderId="0" xfId="0" applyFill="1" applyAlignment="1">
      <alignment horizontal="center" wrapText="1"/>
    </xf>
    <xf numFmtId="173" fontId="0" fillId="0" borderId="0" xfId="0" applyNumberFormat="1"/>
    <xf numFmtId="0" fontId="8" fillId="14" borderId="0" xfId="0" applyFont="1" applyFill="1"/>
    <xf numFmtId="0" fontId="8" fillId="14" borderId="0" xfId="0" applyNumberFormat="1" applyFont="1" applyFill="1"/>
    <xf numFmtId="0" fontId="8" fillId="37" borderId="0" xfId="0" applyFont="1" applyFill="1"/>
    <xf numFmtId="0" fontId="8" fillId="37" borderId="0" xfId="0" applyNumberFormat="1" applyFont="1" applyFill="1"/>
    <xf numFmtId="0" fontId="8" fillId="38" borderId="0" xfId="0" applyFont="1" applyFill="1"/>
    <xf numFmtId="0" fontId="8" fillId="38" borderId="0" xfId="0" applyNumberFormat="1" applyFont="1" applyFill="1"/>
    <xf numFmtId="2" fontId="5" fillId="0" borderId="0" xfId="0" applyNumberFormat="1" applyFont="1"/>
    <xf numFmtId="2" fontId="2" fillId="0" borderId="0" xfId="0" applyNumberFormat="1" applyFont="1"/>
    <xf numFmtId="10" fontId="2" fillId="0" borderId="0" xfId="0" applyNumberFormat="1" applyFont="1"/>
    <xf numFmtId="2" fontId="0" fillId="0" borderId="0" xfId="0" applyNumberFormat="1" applyFill="1" applyBorder="1" applyAlignment="1">
      <alignment horizontal="center"/>
    </xf>
    <xf numFmtId="0" fontId="13" fillId="0" borderId="0" xfId="1" applyNumberFormat="1" applyFont="1" applyFill="1" applyBorder="1" applyAlignment="1" applyProtection="1">
      <alignment horizontal="left"/>
    </xf>
    <xf numFmtId="2" fontId="0" fillId="0" borderId="0" xfId="0" applyNumberFormat="1" applyFill="1" applyBorder="1"/>
    <xf numFmtId="0" fontId="0" fillId="0" borderId="0" xfId="0" applyNumberFormat="1" applyFill="1" applyBorder="1"/>
    <xf numFmtId="2" fontId="2" fillId="7" borderId="0" xfId="0" applyNumberFormat="1" applyFont="1" applyFill="1"/>
    <xf numFmtId="2" fontId="2" fillId="39" borderId="0" xfId="0" applyNumberFormat="1" applyFont="1" applyFill="1"/>
    <xf numFmtId="0" fontId="2" fillId="7" borderId="0" xfId="0" applyNumberFormat="1" applyFont="1" applyFill="1"/>
    <xf numFmtId="174" fontId="8" fillId="0" borderId="0" xfId="0" applyNumberFormat="1" applyFont="1"/>
    <xf numFmtId="174" fontId="0" fillId="0" borderId="0" xfId="0" applyNumberFormat="1" applyAlignment="1">
      <alignment horizontal="center"/>
    </xf>
    <xf numFmtId="10" fontId="0" fillId="0" borderId="0" xfId="0" applyNumberFormat="1" applyAlignment="1">
      <alignment horizontal="center"/>
    </xf>
    <xf numFmtId="10" fontId="8" fillId="0" borderId="0" xfId="0" applyNumberFormat="1" applyFont="1"/>
    <xf numFmtId="0" fontId="2" fillId="0" borderId="0" xfId="0" applyFont="1"/>
    <xf numFmtId="3" fontId="0" fillId="0" borderId="0" xfId="0" applyNumberFormat="1" applyBorder="1"/>
    <xf numFmtId="164" fontId="0" fillId="0" borderId="0" xfId="0" applyNumberFormat="1" applyFill="1" applyBorder="1"/>
    <xf numFmtId="4" fontId="0" fillId="0" borderId="0" xfId="0" applyNumberFormat="1" applyFill="1" applyBorder="1"/>
    <xf numFmtId="164" fontId="0" fillId="0" borderId="0" xfId="0" applyNumberFormat="1" applyBorder="1"/>
    <xf numFmtId="4" fontId="0" fillId="0" borderId="0" xfId="0" applyNumberFormat="1" applyBorder="1"/>
    <xf numFmtId="3" fontId="0" fillId="0" borderId="0" xfId="0" applyNumberFormat="1" applyFill="1" applyBorder="1" applyAlignment="1">
      <alignment horizontal="center" wrapText="1"/>
    </xf>
    <xf numFmtId="3" fontId="0" fillId="0" borderId="0" xfId="0" applyNumberFormat="1" applyBorder="1" applyAlignment="1">
      <alignment horizontal="center" wrapText="1"/>
    </xf>
    <xf numFmtId="3" fontId="8" fillId="0" borderId="0" xfId="0" applyNumberFormat="1" applyFont="1"/>
    <xf numFmtId="3" fontId="0" fillId="0" borderId="0" xfId="0" applyNumberFormat="1" applyBorder="1" applyAlignment="1">
      <alignment vertical="center" wrapText="1"/>
    </xf>
    <xf numFmtId="3" fontId="0" fillId="0" borderId="0" xfId="0" applyNumberFormat="1" applyBorder="1" applyAlignment="1">
      <alignment vertical="center"/>
    </xf>
    <xf numFmtId="3" fontId="2" fillId="0" borderId="0" xfId="0" applyNumberFormat="1" applyFont="1"/>
    <xf numFmtId="0" fontId="0" fillId="0" borderId="28" xfId="0" applyFill="1" applyBorder="1" applyAlignment="1">
      <alignment horizontal="right" vertical="center"/>
    </xf>
    <xf numFmtId="3" fontId="0" fillId="0" borderId="0" xfId="0" applyNumberFormat="1"/>
    <xf numFmtId="3" fontId="5" fillId="0" borderId="0" xfId="0" applyNumberFormat="1" applyFont="1" applyFill="1" applyBorder="1" applyAlignment="1">
      <alignment horizontal="left"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wrapText="1"/>
    </xf>
    <xf numFmtId="175" fontId="8" fillId="0" borderId="0" xfId="0" applyNumberFormat="1" applyFont="1" applyFill="1" applyBorder="1"/>
    <xf numFmtId="3" fontId="2" fillId="0" borderId="0" xfId="0" applyNumberFormat="1" applyFont="1" applyFill="1" applyBorder="1"/>
    <xf numFmtId="175" fontId="8" fillId="0" borderId="0" xfId="0" applyNumberFormat="1" applyFont="1" applyFill="1"/>
    <xf numFmtId="4" fontId="8" fillId="0" borderId="0" xfId="0" applyNumberFormat="1" applyFont="1" applyFill="1" applyBorder="1"/>
    <xf numFmtId="0" fontId="8" fillId="0" borderId="0" xfId="0" applyFont="1" applyFill="1" applyBorder="1" applyProtection="1">
      <protection locked="0"/>
    </xf>
    <xf numFmtId="4" fontId="2" fillId="0" borderId="0" xfId="0" applyNumberFormat="1" applyFont="1" applyFill="1" applyBorder="1"/>
    <xf numFmtId="4" fontId="2" fillId="0" borderId="0" xfId="0" applyNumberFormat="1" applyFont="1" applyFill="1"/>
    <xf numFmtId="0" fontId="0" fillId="0" borderId="34" xfId="0" applyFill="1" applyBorder="1" applyAlignment="1">
      <alignment horizontal="right" vertical="center"/>
    </xf>
    <xf numFmtId="165" fontId="0" fillId="0" borderId="0" xfId="0" applyNumberFormat="1" applyBorder="1"/>
    <xf numFmtId="3" fontId="5" fillId="0" borderId="0" xfId="0" applyNumberFormat="1" applyFont="1" applyBorder="1" applyAlignment="1">
      <alignment horizontal="center" vertical="center" wrapText="1"/>
    </xf>
    <xf numFmtId="3" fontId="2" fillId="0" borderId="0" xfId="0" applyNumberFormat="1" applyFont="1" applyBorder="1" applyAlignment="1">
      <alignment vertical="center"/>
    </xf>
    <xf numFmtId="3" fontId="2" fillId="0" borderId="0" xfId="0" applyNumberFormat="1" applyFont="1" applyBorder="1"/>
    <xf numFmtId="176" fontId="0" fillId="0" borderId="0" xfId="0" applyNumberFormat="1" applyFill="1" applyBorder="1"/>
    <xf numFmtId="165" fontId="0" fillId="0" borderId="0" xfId="0" applyNumberFormat="1" applyFill="1" applyBorder="1"/>
    <xf numFmtId="4" fontId="2" fillId="0" borderId="0" xfId="0" applyNumberFormat="1" applyFont="1" applyFill="1" applyAlignment="1">
      <alignment horizontal="center" wrapText="1"/>
    </xf>
    <xf numFmtId="4" fontId="2" fillId="0" borderId="0" xfId="0" applyNumberFormat="1" applyFont="1"/>
    <xf numFmtId="0" fontId="2" fillId="0" borderId="0" xfId="0" applyFont="1" applyFill="1" applyAlignment="1">
      <alignment horizontal="center" wrapText="1"/>
    </xf>
    <xf numFmtId="3" fontId="0" fillId="0" borderId="0" xfId="0" applyNumberFormat="1" applyFill="1" applyBorder="1" applyAlignment="1">
      <alignment vertical="center"/>
    </xf>
    <xf numFmtId="3" fontId="0" fillId="35" borderId="0" xfId="0" applyNumberFormat="1" applyFill="1" applyBorder="1"/>
    <xf numFmtId="2" fontId="0" fillId="0" borderId="0" xfId="0" applyNumberFormat="1" applyFill="1"/>
    <xf numFmtId="2" fontId="0" fillId="0" borderId="20" xfId="0" applyNumberFormat="1" applyFill="1" applyBorder="1"/>
    <xf numFmtId="0" fontId="0" fillId="0" borderId="20" xfId="0" applyFill="1" applyBorder="1"/>
    <xf numFmtId="3" fontId="0" fillId="10" borderId="0" xfId="0" applyNumberFormat="1" applyFill="1" applyBorder="1" applyAlignment="1">
      <alignment vertical="center"/>
    </xf>
    <xf numFmtId="0" fontId="2" fillId="0" borderId="0" xfId="0" applyFont="1" applyFill="1" applyBorder="1"/>
    <xf numFmtId="3" fontId="5" fillId="0" borderId="0" xfId="0" applyNumberFormat="1" applyFont="1" applyFill="1" applyBorder="1" applyAlignment="1">
      <alignment horizontal="center" wrapText="1"/>
    </xf>
    <xf numFmtId="0" fontId="8" fillId="0" borderId="0" xfId="54" applyFont="1" applyFill="1" applyBorder="1"/>
    <xf numFmtId="0" fontId="8" fillId="0" borderId="0" xfId="54" applyFill="1" applyBorder="1"/>
    <xf numFmtId="166" fontId="5" fillId="0" borderId="0" xfId="0" applyNumberFormat="1" applyFont="1" applyFill="1" applyBorder="1" applyAlignment="1">
      <alignment horizontal="center" wrapText="1"/>
    </xf>
    <xf numFmtId="166" fontId="2" fillId="0" borderId="0" xfId="0" applyNumberFormat="1" applyFont="1" applyFill="1" applyBorder="1"/>
    <xf numFmtId="4" fontId="0" fillId="0" borderId="0" xfId="0" applyNumberFormat="1" applyFill="1" applyBorder="1" applyAlignment="1">
      <alignment wrapText="1"/>
    </xf>
    <xf numFmtId="4" fontId="0" fillId="0" borderId="0" xfId="0" applyNumberFormat="1" applyFill="1" applyBorder="1" applyAlignment="1"/>
    <xf numFmtId="4" fontId="0" fillId="7" borderId="0" xfId="0" applyNumberFormat="1" applyFill="1" applyBorder="1" applyAlignment="1">
      <alignment wrapText="1"/>
    </xf>
    <xf numFmtId="4" fontId="2" fillId="0" borderId="0" xfId="0" applyNumberFormat="1" applyFont="1" applyFill="1" applyBorder="1" applyAlignment="1">
      <alignment wrapText="1"/>
    </xf>
    <xf numFmtId="0" fontId="10" fillId="10" borderId="0" xfId="0" applyFont="1" applyFill="1" applyBorder="1" applyAlignment="1">
      <alignment wrapText="1"/>
    </xf>
    <xf numFmtId="4" fontId="0" fillId="6" borderId="0" xfId="0" applyNumberFormat="1" applyFill="1" applyBorder="1"/>
    <xf numFmtId="4" fontId="0" fillId="10" borderId="0" xfId="0" applyNumberFormat="1" applyFill="1" applyBorder="1" applyAlignment="1">
      <alignment wrapText="1"/>
    </xf>
    <xf numFmtId="4" fontId="0" fillId="8" borderId="0" xfId="0" applyNumberFormat="1" applyFill="1" applyBorder="1" applyAlignment="1">
      <alignment wrapText="1"/>
    </xf>
    <xf numFmtId="4" fontId="0" fillId="7" borderId="0" xfId="0" applyNumberFormat="1" applyFill="1" applyBorder="1"/>
    <xf numFmtId="4" fontId="0" fillId="10" borderId="0" xfId="0" applyNumberFormat="1" applyFill="1" applyBorder="1"/>
    <xf numFmtId="4" fontId="0" fillId="40" borderId="0" xfId="0" applyNumberFormat="1" applyFill="1" applyBorder="1" applyAlignment="1">
      <alignment wrapText="1"/>
    </xf>
    <xf numFmtId="0" fontId="8" fillId="0" borderId="0" xfId="1" applyFill="1" applyBorder="1" applyAlignment="1">
      <alignment horizontal="left"/>
    </xf>
    <xf numFmtId="166" fontId="2" fillId="6" borderId="0" xfId="0" applyNumberFormat="1" applyFont="1" applyFill="1" applyBorder="1"/>
    <xf numFmtId="0" fontId="10" fillId="41" borderId="0" xfId="0" applyFont="1" applyFill="1" applyBorder="1" applyAlignment="1">
      <alignment wrapText="1"/>
    </xf>
    <xf numFmtId="177" fontId="0" fillId="0" borderId="0" xfId="0" applyNumberFormat="1" applyFill="1" applyBorder="1"/>
    <xf numFmtId="0" fontId="0" fillId="0" borderId="0" xfId="0" applyFill="1" applyBorder="1" applyAlignment="1">
      <alignment wrapText="1"/>
    </xf>
    <xf numFmtId="3" fontId="5" fillId="7" borderId="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0" fontId="2" fillId="6" borderId="0" xfId="0" applyFont="1" applyFill="1" applyAlignment="1">
      <alignment horizontal="center" vertical="center" wrapText="1"/>
    </xf>
    <xf numFmtId="3" fontId="0" fillId="10" borderId="0" xfId="0" applyNumberFormat="1" applyFill="1"/>
    <xf numFmtId="3" fontId="8" fillId="10" borderId="0" xfId="0" applyNumberFormat="1" applyFont="1" applyFill="1"/>
    <xf numFmtId="4" fontId="8" fillId="30" borderId="0" xfId="0" applyNumberFormat="1" applyFont="1" applyFill="1" applyBorder="1"/>
    <xf numFmtId="3" fontId="0" fillId="30" borderId="0" xfId="0" applyNumberFormat="1" applyFill="1"/>
    <xf numFmtId="1" fontId="0" fillId="0" borderId="0" xfId="0" applyNumberFormat="1" applyFill="1"/>
    <xf numFmtId="4" fontId="5" fillId="0" borderId="0" xfId="0" applyNumberFormat="1" applyFont="1" applyFill="1" applyBorder="1"/>
    <xf numFmtId="4" fontId="8" fillId="10" borderId="0" xfId="0" applyNumberFormat="1" applyFont="1" applyFill="1" applyBorder="1"/>
    <xf numFmtId="4" fontId="24" fillId="0" borderId="0" xfId="0" applyNumberFormat="1" applyFont="1" applyFill="1"/>
    <xf numFmtId="0" fontId="8" fillId="0" borderId="0" xfId="54"/>
    <xf numFmtId="0" fontId="8" fillId="0" borderId="0" xfId="54" applyAlignment="1">
      <alignment horizontal="left"/>
    </xf>
    <xf numFmtId="3" fontId="0" fillId="0" borderId="24" xfId="0" applyNumberFormat="1" applyFill="1" applyBorder="1"/>
    <xf numFmtId="3" fontId="0" fillId="0" borderId="32" xfId="0" applyNumberFormat="1" applyFill="1" applyBorder="1"/>
    <xf numFmtId="3" fontId="0" fillId="0" borderId="25" xfId="0" applyNumberFormat="1" applyFill="1" applyBorder="1"/>
    <xf numFmtId="3" fontId="0" fillId="0" borderId="18" xfId="0" applyNumberFormat="1" applyFill="1" applyBorder="1"/>
    <xf numFmtId="3" fontId="0" fillId="0" borderId="26" xfId="0" applyNumberFormat="1" applyFill="1" applyBorder="1"/>
    <xf numFmtId="3" fontId="0" fillId="22" borderId="0" xfId="0" applyNumberFormat="1" applyFill="1"/>
    <xf numFmtId="4" fontId="0" fillId="10" borderId="0" xfId="0" applyNumberFormat="1" applyFill="1"/>
    <xf numFmtId="165" fontId="13" fillId="10" borderId="12" xfId="1" applyNumberFormat="1" applyFont="1" applyFill="1" applyBorder="1" applyAlignment="1" applyProtection="1">
      <alignment vertical="center"/>
      <protection locked="0"/>
    </xf>
    <xf numFmtId="4" fontId="0" fillId="0" borderId="32" xfId="0" applyNumberFormat="1" applyFill="1" applyBorder="1"/>
    <xf numFmtId="3" fontId="0" fillId="0" borderId="27" xfId="0" applyNumberFormat="1" applyFill="1" applyBorder="1"/>
    <xf numFmtId="3" fontId="0" fillId="0" borderId="23" xfId="0" applyNumberFormat="1" applyFill="1" applyBorder="1"/>
    <xf numFmtId="3" fontId="0" fillId="0" borderId="17" xfId="0" applyNumberFormat="1" applyFill="1" applyBorder="1"/>
    <xf numFmtId="3" fontId="0" fillId="34" borderId="0" xfId="0" applyNumberFormat="1" applyFill="1"/>
    <xf numFmtId="0" fontId="0" fillId="34" borderId="0" xfId="0" applyNumberFormat="1" applyFill="1"/>
    <xf numFmtId="3" fontId="0" fillId="34" borderId="24" xfId="0" applyNumberFormat="1" applyFill="1" applyBorder="1"/>
    <xf numFmtId="3" fontId="0" fillId="34" borderId="32" xfId="0" applyNumberFormat="1" applyFill="1" applyBorder="1"/>
    <xf numFmtId="3" fontId="0" fillId="34" borderId="25" xfId="0" applyNumberFormat="1" applyFill="1" applyBorder="1"/>
    <xf numFmtId="4" fontId="0" fillId="34" borderId="0" xfId="0" applyNumberFormat="1" applyFill="1"/>
    <xf numFmtId="3" fontId="0" fillId="34" borderId="18" xfId="0" applyNumberFormat="1" applyFill="1" applyBorder="1"/>
    <xf numFmtId="3" fontId="0" fillId="34" borderId="0" xfId="0" applyNumberFormat="1" applyFill="1" applyBorder="1"/>
    <xf numFmtId="3" fontId="0" fillId="34" borderId="26" xfId="0" applyNumberFormat="1" applyFill="1" applyBorder="1"/>
    <xf numFmtId="165" fontId="13" fillId="34" borderId="12" xfId="1" applyNumberFormat="1" applyFont="1" applyFill="1" applyBorder="1" applyAlignment="1" applyProtection="1">
      <alignment vertical="center"/>
      <protection locked="0"/>
    </xf>
    <xf numFmtId="165" fontId="13" fillId="34" borderId="12" xfId="12" applyNumberFormat="1" applyFont="1" applyFill="1" applyBorder="1" applyAlignment="1" applyProtection="1">
      <alignment horizontal="right" vertical="center"/>
      <protection locked="0"/>
    </xf>
    <xf numFmtId="175" fontId="0" fillId="0" borderId="26" xfId="0" applyNumberFormat="1" applyFill="1" applyBorder="1" applyAlignment="1">
      <alignment horizontal="right"/>
    </xf>
    <xf numFmtId="4" fontId="0" fillId="34" borderId="32" xfId="0" applyNumberFormat="1" applyFill="1" applyBorder="1"/>
    <xf numFmtId="3" fontId="0" fillId="34" borderId="27" xfId="0" applyNumberFormat="1" applyFill="1" applyBorder="1"/>
    <xf numFmtId="3" fontId="0" fillId="34" borderId="23" xfId="0" applyNumberFormat="1" applyFill="1" applyBorder="1"/>
    <xf numFmtId="3" fontId="0" fillId="34" borderId="17" xfId="0" applyNumberFormat="1" applyFill="1" applyBorder="1"/>
    <xf numFmtId="9" fontId="0" fillId="0" borderId="0" xfId="0" applyNumberFormat="1" applyFill="1"/>
    <xf numFmtId="0" fontId="2" fillId="8" borderId="0" xfId="0" applyFont="1" applyFill="1" applyAlignment="1">
      <alignment wrapText="1"/>
    </xf>
    <xf numFmtId="0" fontId="2" fillId="8" borderId="0" xfId="0" applyFont="1" applyFill="1" applyAlignment="1">
      <alignment horizontal="center" vertical="center" wrapText="1"/>
    </xf>
    <xf numFmtId="3" fontId="0" fillId="8" borderId="0" xfId="0" applyNumberFormat="1" applyFill="1"/>
    <xf numFmtId="3" fontId="2" fillId="8" borderId="0" xfId="0" applyNumberFormat="1" applyFont="1" applyFill="1"/>
    <xf numFmtId="3" fontId="2" fillId="35" borderId="0" xfId="0" applyNumberFormat="1" applyFont="1" applyFill="1" applyAlignment="1">
      <alignment horizontal="center" vertical="center" wrapText="1"/>
    </xf>
    <xf numFmtId="0" fontId="8" fillId="10" borderId="0" xfId="0" applyNumberFormat="1" applyFont="1" applyFill="1" applyBorder="1"/>
    <xf numFmtId="0" fontId="0" fillId="0" borderId="0" xfId="0" applyNumberFormat="1" applyFill="1" applyAlignment="1">
      <alignment horizontal="left"/>
    </xf>
    <xf numFmtId="3" fontId="0" fillId="42" borderId="0" xfId="0" applyNumberFormat="1" applyFill="1"/>
    <xf numFmtId="3" fontId="2" fillId="42" borderId="0" xfId="0" applyNumberFormat="1" applyFont="1" applyFill="1"/>
    <xf numFmtId="3" fontId="5" fillId="7" borderId="0" xfId="0" applyNumberFormat="1" applyFont="1" applyFill="1"/>
    <xf numFmtId="0" fontId="24" fillId="7" borderId="0" xfId="0" applyFont="1" applyFill="1"/>
    <xf numFmtId="3" fontId="0" fillId="0" borderId="20" xfId="0" applyNumberFormat="1" applyFill="1" applyBorder="1"/>
    <xf numFmtId="0" fontId="0" fillId="0" borderId="26" xfId="0" applyBorder="1"/>
    <xf numFmtId="3" fontId="2" fillId="34" borderId="19" xfId="0" applyNumberFormat="1" applyFont="1" applyFill="1" applyBorder="1"/>
    <xf numFmtId="3" fontId="2" fillId="34" borderId="31" xfId="0" applyNumberFormat="1" applyFont="1" applyFill="1" applyBorder="1"/>
    <xf numFmtId="3" fontId="0" fillId="0" borderId="20" xfId="0" applyNumberFormat="1" applyBorder="1"/>
    <xf numFmtId="3" fontId="0" fillId="7" borderId="20" xfId="0" applyNumberFormat="1" applyFill="1" applyBorder="1"/>
    <xf numFmtId="0" fontId="0" fillId="10" borderId="0" xfId="0" applyFill="1"/>
    <xf numFmtId="0" fontId="0" fillId="10" borderId="0" xfId="0" applyFill="1" applyBorder="1"/>
    <xf numFmtId="3" fontId="2" fillId="10" borderId="0" xfId="0" applyNumberFormat="1" applyFont="1" applyFill="1"/>
    <xf numFmtId="3" fontId="6" fillId="0" borderId="31" xfId="54" applyNumberFormat="1" applyFont="1" applyFill="1" applyBorder="1" applyAlignment="1" applyProtection="1">
      <alignment horizontal="center"/>
    </xf>
    <xf numFmtId="3" fontId="8" fillId="0" borderId="19" xfId="54" applyNumberFormat="1" applyBorder="1" applyAlignment="1" applyProtection="1">
      <alignment horizontal="center"/>
    </xf>
    <xf numFmtId="0" fontId="8" fillId="0" borderId="0" xfId="54" applyFont="1" applyProtection="1"/>
    <xf numFmtId="3" fontId="2" fillId="0" borderId="32" xfId="0" applyNumberFormat="1" applyFont="1" applyFill="1" applyBorder="1"/>
    <xf numFmtId="3" fontId="8" fillId="0" borderId="0" xfId="40" applyNumberFormat="1" applyFont="1" applyFill="1" applyBorder="1" applyProtection="1"/>
    <xf numFmtId="165" fontId="5" fillId="0" borderId="0" xfId="40" applyNumberFormat="1" applyFont="1" applyFill="1" applyBorder="1" applyAlignment="1" applyProtection="1">
      <alignment horizontal="center"/>
    </xf>
    <xf numFmtId="0" fontId="3" fillId="0" borderId="0" xfId="40" applyFont="1" applyFill="1" applyBorder="1" applyAlignment="1" applyProtection="1">
      <alignment horizontal="center"/>
    </xf>
    <xf numFmtId="0" fontId="3" fillId="23" borderId="7" xfId="40" applyFont="1" applyFill="1" applyBorder="1" applyAlignment="1" applyProtection="1">
      <alignment wrapText="1"/>
    </xf>
    <xf numFmtId="0" fontId="3" fillId="6" borderId="7" xfId="40" applyFont="1" applyFill="1" applyBorder="1" applyAlignment="1" applyProtection="1">
      <alignment wrapText="1"/>
    </xf>
    <xf numFmtId="1" fontId="8" fillId="0" borderId="18" xfId="48" applyNumberFormat="1" applyFill="1" applyBorder="1"/>
    <xf numFmtId="0" fontId="8" fillId="0" borderId="18" xfId="50" applyFill="1" applyBorder="1"/>
    <xf numFmtId="0" fontId="0" fillId="0" borderId="18" xfId="49" applyFont="1" applyFill="1" applyBorder="1" applyAlignment="1">
      <alignment vertical="center"/>
    </xf>
    <xf numFmtId="0" fontId="8" fillId="0" borderId="18" xfId="46" applyFont="1" applyFill="1" applyBorder="1" applyAlignment="1">
      <alignment vertical="center"/>
    </xf>
    <xf numFmtId="0" fontId="8" fillId="0" borderId="18" xfId="49" applyFill="1" applyBorder="1" applyAlignment="1">
      <alignment vertical="center"/>
    </xf>
    <xf numFmtId="0" fontId="1" fillId="0" borderId="35" xfId="46" applyFill="1" applyBorder="1"/>
    <xf numFmtId="0" fontId="8" fillId="0" borderId="18" xfId="47" applyFont="1" applyFill="1" applyBorder="1" applyAlignment="1">
      <alignment vertical="center"/>
    </xf>
    <xf numFmtId="0" fontId="8" fillId="0" borderId="18" xfId="49" applyFont="1" applyFill="1" applyBorder="1" applyAlignment="1">
      <alignment vertical="center"/>
    </xf>
    <xf numFmtId="0" fontId="1" fillId="0" borderId="18" xfId="46" applyFill="1" applyBorder="1" applyAlignment="1">
      <alignment vertical="center"/>
    </xf>
    <xf numFmtId="0" fontId="25" fillId="0" borderId="0" xfId="45" applyFont="1" applyBorder="1" applyAlignment="1">
      <alignment horizontal="left"/>
    </xf>
    <xf numFmtId="0" fontId="1" fillId="36" borderId="35" xfId="46" applyFill="1" applyBorder="1"/>
    <xf numFmtId="0" fontId="36" fillId="0" borderId="34" xfId="51" applyNumberFormat="1" applyFill="1" applyBorder="1" applyAlignment="1">
      <alignment horizontal="right"/>
    </xf>
    <xf numFmtId="0" fontId="8" fillId="0" borderId="0" xfId="39" applyNumberFormat="1" applyFill="1" applyBorder="1" applyAlignment="1">
      <alignment horizontal="left" vertical="center"/>
    </xf>
    <xf numFmtId="0" fontId="8" fillId="0" borderId="0" xfId="50" applyNumberFormat="1" applyFill="1" applyBorder="1" applyAlignment="1">
      <alignment horizontal="left" vertical="center"/>
    </xf>
    <xf numFmtId="0" fontId="8" fillId="0" borderId="0" xfId="40" applyFont="1" applyAlignment="1">
      <alignment horizontal="left"/>
    </xf>
    <xf numFmtId="3" fontId="5" fillId="0" borderId="0" xfId="0" applyNumberFormat="1" applyFont="1" applyFill="1" applyAlignment="1">
      <alignment horizontal="left"/>
    </xf>
    <xf numFmtId="0" fontId="8" fillId="0" borderId="0" xfId="23" applyAlignment="1">
      <alignment horizontal="left"/>
    </xf>
    <xf numFmtId="3" fontId="8" fillId="0" borderId="0" xfId="0" applyNumberFormat="1" applyFont="1" applyFill="1" applyAlignment="1">
      <alignment horizontal="left"/>
    </xf>
    <xf numFmtId="0" fontId="8" fillId="0" borderId="0" xfId="0" applyNumberFormat="1" applyFont="1" applyFill="1" applyBorder="1" applyAlignment="1">
      <alignment horizontal="left"/>
    </xf>
    <xf numFmtId="1" fontId="8" fillId="0" borderId="0" xfId="36" applyNumberFormat="1" applyFont="1" applyFill="1" applyBorder="1" applyAlignment="1">
      <alignment horizontal="left"/>
    </xf>
    <xf numFmtId="0" fontId="0" fillId="0" borderId="0" xfId="0" applyBorder="1" applyAlignment="1">
      <alignment horizontal="left"/>
    </xf>
    <xf numFmtId="0" fontId="26" fillId="0" borderId="0" xfId="0" applyFont="1" applyAlignment="1">
      <alignment horizontal="left"/>
    </xf>
    <xf numFmtId="0" fontId="8" fillId="0" borderId="0" xfId="1" applyFont="1" applyFill="1" applyBorder="1" applyAlignment="1">
      <alignment horizontal="left" vertical="center"/>
    </xf>
    <xf numFmtId="0" fontId="8" fillId="0" borderId="0" xfId="35" applyFont="1" applyFill="1" applyBorder="1" applyAlignment="1">
      <alignment horizontal="left" vertical="center"/>
    </xf>
    <xf numFmtId="0" fontId="25" fillId="0" borderId="0" xfId="34" applyFont="1" applyAlignment="1">
      <alignment horizontal="left"/>
    </xf>
    <xf numFmtId="0" fontId="8" fillId="0" borderId="0" xfId="23" applyBorder="1" applyAlignment="1">
      <alignment horizontal="left"/>
    </xf>
    <xf numFmtId="0" fontId="8" fillId="0" borderId="0" xfId="46" applyFont="1" applyFill="1" applyBorder="1" applyAlignment="1">
      <alignment horizontal="left" vertical="center"/>
    </xf>
    <xf numFmtId="0" fontId="8" fillId="10" borderId="0" xfId="38" applyNumberFormat="1" applyFont="1" applyFill="1" applyBorder="1" applyAlignment="1">
      <alignment horizontal="left" wrapText="1"/>
    </xf>
    <xf numFmtId="0" fontId="8" fillId="0" borderId="0" xfId="46" applyNumberFormat="1" applyFont="1" applyFill="1" applyBorder="1" applyAlignment="1">
      <alignment horizontal="left" vertical="center"/>
    </xf>
    <xf numFmtId="0" fontId="4" fillId="10" borderId="0" xfId="38" applyNumberFormat="1" applyFont="1" applyFill="1" applyBorder="1" applyAlignment="1">
      <alignment horizontal="left" wrapText="1"/>
    </xf>
    <xf numFmtId="0" fontId="8" fillId="0" borderId="0" xfId="49" applyFill="1" applyBorder="1" applyAlignment="1">
      <alignment horizontal="left" vertical="center"/>
    </xf>
    <xf numFmtId="2" fontId="8" fillId="0" borderId="0" xfId="49" applyNumberFormat="1" applyFill="1" applyBorder="1" applyAlignment="1">
      <alignment horizontal="left" vertical="center"/>
    </xf>
    <xf numFmtId="0" fontId="4" fillId="0" borderId="0" xfId="38" applyNumberFormat="1" applyFont="1" applyFill="1" applyBorder="1" applyAlignment="1">
      <alignment horizontal="left" wrapText="1"/>
    </xf>
    <xf numFmtId="0" fontId="8" fillId="0" borderId="0" xfId="37" applyFill="1" applyBorder="1" applyAlignment="1">
      <alignment horizontal="left" vertical="center"/>
    </xf>
    <xf numFmtId="0" fontId="8" fillId="0" borderId="0" xfId="44" applyFill="1" applyBorder="1" applyAlignment="1">
      <alignment horizontal="left"/>
    </xf>
    <xf numFmtId="0" fontId="8" fillId="0" borderId="0" xfId="1" applyAlignment="1">
      <alignment horizontal="left"/>
    </xf>
    <xf numFmtId="0" fontId="8" fillId="0" borderId="0" xfId="37" applyFont="1" applyFill="1" applyBorder="1" applyAlignment="1">
      <alignment horizontal="left" vertical="center"/>
    </xf>
    <xf numFmtId="0" fontId="8" fillId="0" borderId="0" xfId="38" applyNumberFormat="1" applyFont="1" applyFill="1" applyBorder="1" applyAlignment="1">
      <alignment horizontal="left" wrapText="1"/>
    </xf>
    <xf numFmtId="0" fontId="8" fillId="0" borderId="0" xfId="44" applyNumberFormat="1" applyFill="1" applyBorder="1" applyAlignment="1">
      <alignment horizontal="left"/>
    </xf>
    <xf numFmtId="0" fontId="8" fillId="0" borderId="0" xfId="50" applyFill="1" applyBorder="1" applyAlignment="1">
      <alignment horizontal="left"/>
    </xf>
    <xf numFmtId="0" fontId="0" fillId="0" borderId="0" xfId="37" applyFont="1" applyFill="1" applyBorder="1" applyAlignment="1">
      <alignment horizontal="left" vertical="center"/>
    </xf>
    <xf numFmtId="0" fontId="0" fillId="0" borderId="0" xfId="50" applyFont="1" applyFill="1" applyBorder="1" applyAlignment="1">
      <alignment horizontal="left" vertical="center"/>
    </xf>
    <xf numFmtId="0" fontId="8" fillId="0" borderId="0" xfId="49" applyFont="1" applyFill="1" applyBorder="1" applyAlignment="1">
      <alignment horizontal="left" vertical="center"/>
    </xf>
    <xf numFmtId="0" fontId="8" fillId="0" borderId="0" xfId="49" applyNumberFormat="1" applyFill="1" applyBorder="1" applyAlignment="1">
      <alignment horizontal="left" vertical="center"/>
    </xf>
    <xf numFmtId="0" fontId="0" fillId="0" borderId="0" xfId="49" applyFont="1" applyFill="1" applyBorder="1" applyAlignment="1">
      <alignment horizontal="left" vertical="center"/>
    </xf>
    <xf numFmtId="0" fontId="8" fillId="10" borderId="0" xfId="49" applyFill="1" applyBorder="1" applyAlignment="1">
      <alignment horizontal="left" vertical="center"/>
    </xf>
    <xf numFmtId="0" fontId="8" fillId="0" borderId="0" xfId="49" applyNumberFormat="1" applyFont="1" applyFill="1" applyBorder="1" applyAlignment="1">
      <alignment horizontal="left" vertical="center"/>
    </xf>
    <xf numFmtId="0" fontId="27" fillId="0" borderId="0" xfId="40" applyFill="1" applyBorder="1" applyAlignment="1">
      <alignment horizontal="left"/>
    </xf>
    <xf numFmtId="0" fontId="25" fillId="0" borderId="0" xfId="45" applyNumberFormat="1" applyFont="1" applyFill="1" applyBorder="1" applyAlignment="1">
      <alignment horizontal="left"/>
    </xf>
    <xf numFmtId="0" fontId="0" fillId="10" borderId="0" xfId="37" applyFont="1" applyFill="1" applyBorder="1" applyAlignment="1">
      <alignment horizontal="left" vertical="center"/>
    </xf>
    <xf numFmtId="0" fontId="8" fillId="10" borderId="0" xfId="37" applyNumberFormat="1" applyFont="1" applyFill="1" applyBorder="1" applyAlignment="1">
      <alignment horizontal="left" vertical="center"/>
    </xf>
    <xf numFmtId="0" fontId="0" fillId="10" borderId="0" xfId="49" applyFont="1" applyFill="1" applyBorder="1" applyAlignment="1">
      <alignment horizontal="left" vertical="center"/>
    </xf>
    <xf numFmtId="0" fontId="0" fillId="0" borderId="0" xfId="37" applyNumberFormat="1" applyFont="1" applyFill="1" applyBorder="1" applyAlignment="1">
      <alignment horizontal="left" vertical="center"/>
    </xf>
    <xf numFmtId="0" fontId="8" fillId="10" borderId="0" xfId="37" applyNumberFormat="1" applyFill="1" applyBorder="1" applyAlignment="1">
      <alignment horizontal="left" vertical="center"/>
    </xf>
    <xf numFmtId="0" fontId="8" fillId="10" borderId="0" xfId="34" applyFont="1" applyFill="1" applyBorder="1" applyAlignment="1">
      <alignment horizontal="left"/>
    </xf>
    <xf numFmtId="0" fontId="8" fillId="10" borderId="0" xfId="37" applyFont="1" applyFill="1" applyBorder="1" applyAlignment="1">
      <alignment horizontal="left" vertical="center"/>
    </xf>
    <xf numFmtId="2" fontId="8" fillId="10" borderId="0" xfId="37" applyNumberFormat="1" applyFont="1" applyFill="1" applyBorder="1" applyAlignment="1">
      <alignment horizontal="left" vertical="center"/>
    </xf>
    <xf numFmtId="0" fontId="8" fillId="0" borderId="0" xfId="1" applyNumberFormat="1" applyFill="1" applyBorder="1" applyAlignment="1">
      <alignment horizontal="left" vertical="center"/>
    </xf>
    <xf numFmtId="0" fontId="8" fillId="0" borderId="35" xfId="1" applyFont="1" applyFill="1" applyBorder="1" applyAlignment="1">
      <alignment horizontal="left" vertical="center"/>
    </xf>
    <xf numFmtId="0" fontId="8" fillId="0" borderId="34" xfId="1" applyFont="1" applyFill="1" applyBorder="1" applyAlignment="1">
      <alignment horizontal="left" vertical="center"/>
    </xf>
    <xf numFmtId="0" fontId="8" fillId="0" borderId="0" xfId="1" applyFill="1" applyBorder="1" applyAlignment="1">
      <alignment horizontal="left" vertical="center"/>
    </xf>
    <xf numFmtId="0" fontId="8" fillId="0" borderId="0" xfId="1" applyBorder="1" applyAlignment="1">
      <alignment horizontal="left" vertical="center"/>
    </xf>
    <xf numFmtId="0" fontId="8" fillId="0" borderId="0" xfId="0" applyFont="1" applyFill="1" applyAlignment="1" applyProtection="1">
      <alignment horizontal="left"/>
      <protection locked="0"/>
    </xf>
    <xf numFmtId="0" fontId="8" fillId="0" borderId="34" xfId="0" applyNumberFormat="1" applyFont="1" applyFill="1" applyBorder="1" applyAlignment="1">
      <alignment horizontal="left"/>
    </xf>
    <xf numFmtId="0" fontId="27" fillId="0" borderId="12" xfId="40" applyBorder="1" applyAlignment="1">
      <alignment horizontal="left"/>
    </xf>
    <xf numFmtId="3" fontId="8" fillId="0" borderId="35" xfId="0" applyNumberFormat="1" applyFont="1" applyFill="1" applyBorder="1" applyAlignment="1">
      <alignment horizontal="left"/>
    </xf>
    <xf numFmtId="0" fontId="8" fillId="0" borderId="35" xfId="0" applyNumberFormat="1" applyFont="1" applyFill="1" applyBorder="1" applyAlignment="1">
      <alignment horizontal="left"/>
    </xf>
    <xf numFmtId="0" fontId="27" fillId="15" borderId="0" xfId="40" applyFill="1" applyAlignment="1">
      <alignment horizontal="left"/>
    </xf>
    <xf numFmtId="0" fontId="8" fillId="0" borderId="0" xfId="47" applyNumberFormat="1" applyFont="1" applyFill="1" applyBorder="1" applyAlignment="1">
      <alignment horizontal="left" vertical="center"/>
    </xf>
    <xf numFmtId="0" fontId="8" fillId="0" borderId="0" xfId="45" applyNumberFormat="1" applyFont="1" applyFill="1" applyBorder="1" applyAlignment="1">
      <alignment horizontal="left"/>
    </xf>
    <xf numFmtId="0" fontId="36" fillId="0" borderId="34" xfId="51" applyNumberFormat="1" applyFill="1" applyBorder="1" applyAlignment="1">
      <alignment horizontal="left"/>
    </xf>
    <xf numFmtId="3" fontId="13" fillId="29" borderId="12" xfId="1" applyNumberFormat="1" applyFont="1" applyFill="1" applyBorder="1" applyAlignment="1" applyProtection="1">
      <alignment vertical="center"/>
      <protection locked="0"/>
    </xf>
    <xf numFmtId="3" fontId="8" fillId="18" borderId="0" xfId="40" applyNumberFormat="1" applyFont="1" applyFill="1" applyProtection="1"/>
    <xf numFmtId="6" fontId="19" fillId="0" borderId="0" xfId="24" applyNumberFormat="1" applyFont="1" applyFill="1"/>
    <xf numFmtId="0" fontId="27" fillId="6" borderId="0" xfId="40" applyFill="1"/>
    <xf numFmtId="8" fontId="19" fillId="0" borderId="0" xfId="24" applyNumberFormat="1" applyFont="1" applyFill="1"/>
    <xf numFmtId="3" fontId="19" fillId="10" borderId="0" xfId="24" applyNumberFormat="1" applyFont="1" applyFill="1"/>
    <xf numFmtId="0" fontId="6" fillId="21" borderId="70" xfId="40" applyFont="1" applyFill="1" applyBorder="1" applyAlignment="1">
      <alignment horizontal="center" vertical="center"/>
    </xf>
    <xf numFmtId="164" fontId="6" fillId="21" borderId="123" xfId="40" applyNumberFormat="1" applyFont="1" applyFill="1" applyBorder="1" applyAlignment="1">
      <alignment horizontal="center" vertical="center"/>
    </xf>
    <xf numFmtId="0" fontId="3" fillId="0" borderId="1" xfId="40" applyFont="1" applyFill="1" applyBorder="1" applyProtection="1"/>
    <xf numFmtId="164" fontId="5" fillId="0" borderId="30" xfId="40" applyNumberFormat="1" applyFont="1" applyFill="1" applyBorder="1" applyAlignment="1" applyProtection="1"/>
    <xf numFmtId="0" fontId="5" fillId="0" borderId="30" xfId="40" applyFont="1" applyFill="1" applyBorder="1" applyAlignment="1" applyProtection="1">
      <alignment horizontal="center"/>
    </xf>
    <xf numFmtId="164" fontId="3" fillId="0" borderId="2" xfId="40" applyNumberFormat="1" applyFont="1" applyFill="1" applyBorder="1" applyAlignment="1" applyProtection="1">
      <alignment horizontal="center"/>
    </xf>
    <xf numFmtId="164" fontId="3" fillId="0" borderId="4" xfId="40" applyNumberFormat="1" applyFont="1" applyFill="1" applyBorder="1" applyAlignment="1" applyProtection="1">
      <alignment horizontal="center"/>
    </xf>
    <xf numFmtId="0" fontId="5" fillId="0" borderId="3" xfId="40" applyFont="1" applyBorder="1" applyProtection="1"/>
    <xf numFmtId="3" fontId="13" fillId="29" borderId="12" xfId="1" applyNumberFormat="1" applyFont="1" applyFill="1" applyBorder="1" applyAlignment="1" applyProtection="1">
      <alignment horizontal="center" vertical="center"/>
      <protection locked="0"/>
    </xf>
    <xf numFmtId="3" fontId="13" fillId="29" borderId="31" xfId="1" applyNumberFormat="1" applyFont="1" applyFill="1" applyBorder="1" applyAlignment="1" applyProtection="1">
      <alignment horizontal="center" vertical="center"/>
      <protection locked="0"/>
    </xf>
    <xf numFmtId="0" fontId="6" fillId="17" borderId="8" xfId="40" applyFont="1" applyFill="1" applyBorder="1" applyAlignment="1">
      <alignment horizontal="center" vertical="center" wrapText="1"/>
    </xf>
    <xf numFmtId="165" fontId="13" fillId="28" borderId="1" xfId="40" applyNumberFormat="1" applyFont="1" applyFill="1" applyBorder="1" applyAlignment="1" applyProtection="1">
      <alignment horizontal="center" vertical="center"/>
    </xf>
    <xf numFmtId="165" fontId="13" fillId="28" borderId="3" xfId="40" applyNumberFormat="1" applyFont="1" applyFill="1" applyBorder="1" applyAlignment="1" applyProtection="1">
      <alignment horizontal="center" vertical="center"/>
    </xf>
    <xf numFmtId="165" fontId="13" fillId="28" borderId="5" xfId="40" applyNumberFormat="1" applyFont="1" applyFill="1" applyBorder="1" applyAlignment="1" applyProtection="1">
      <alignment horizontal="center" vertical="center"/>
    </xf>
    <xf numFmtId="0" fontId="8" fillId="17" borderId="124" xfId="40" applyFont="1" applyFill="1" applyBorder="1" applyAlignment="1">
      <alignment horizontal="center" vertical="center" wrapText="1"/>
    </xf>
    <xf numFmtId="0" fontId="8" fillId="17" borderId="5" xfId="40" applyFont="1" applyFill="1" applyBorder="1" applyAlignment="1">
      <alignment horizontal="center" vertical="center" wrapText="1"/>
    </xf>
    <xf numFmtId="165" fontId="13" fillId="28" borderId="62" xfId="40" applyNumberFormat="1" applyFont="1" applyFill="1" applyBorder="1" applyAlignment="1" applyProtection="1">
      <alignment horizontal="center" vertical="center"/>
    </xf>
    <xf numFmtId="165" fontId="13" fillId="28" borderId="63" xfId="40" applyNumberFormat="1" applyFont="1" applyFill="1" applyBorder="1" applyAlignment="1" applyProtection="1">
      <alignment horizontal="center" vertical="center"/>
    </xf>
    <xf numFmtId="165" fontId="13" fillId="28" borderId="124" xfId="40" applyNumberFormat="1" applyFont="1" applyFill="1" applyBorder="1" applyAlignment="1" applyProtection="1">
      <alignment horizontal="center" vertical="center"/>
    </xf>
    <xf numFmtId="3" fontId="13" fillId="29" borderId="31" xfId="1" applyNumberFormat="1" applyFont="1" applyFill="1" applyBorder="1" applyAlignment="1" applyProtection="1">
      <alignment vertical="center"/>
      <protection locked="0"/>
    </xf>
    <xf numFmtId="0" fontId="6" fillId="17" borderId="124" xfId="40" applyFont="1" applyFill="1" applyBorder="1" applyAlignment="1">
      <alignment horizontal="center" vertical="center" wrapText="1"/>
    </xf>
    <xf numFmtId="0" fontId="6" fillId="17" borderId="5" xfId="40" applyFont="1" applyFill="1" applyBorder="1" applyAlignment="1">
      <alignment horizontal="center" vertical="center" wrapText="1"/>
    </xf>
    <xf numFmtId="0" fontId="0" fillId="0" borderId="0" xfId="0" applyNumberFormat="1"/>
    <xf numFmtId="0" fontId="0" fillId="35" borderId="0" xfId="0" applyNumberFormat="1" applyFill="1"/>
    <xf numFmtId="0" fontId="2" fillId="0" borderId="0" xfId="0" applyNumberFormat="1" applyFont="1"/>
    <xf numFmtId="0" fontId="0" fillId="0" borderId="0" xfId="0" applyNumberFormat="1" applyAlignment="1">
      <alignment horizontal="center"/>
    </xf>
    <xf numFmtId="10" fontId="6" fillId="43" borderId="12" xfId="54" applyNumberFormat="1" applyFont="1" applyFill="1" applyBorder="1" applyAlignment="1" applyProtection="1">
      <alignment horizontal="center"/>
    </xf>
    <xf numFmtId="0" fontId="8" fillId="28" borderId="0" xfId="0" applyFont="1" applyFill="1" applyBorder="1"/>
    <xf numFmtId="164" fontId="3" fillId="0" borderId="123" xfId="40" applyNumberFormat="1" applyFont="1" applyBorder="1" applyAlignment="1">
      <alignment horizontal="center" vertical="center"/>
    </xf>
    <xf numFmtId="0" fontId="29" fillId="18" borderId="13" xfId="40" applyFont="1" applyFill="1" applyBorder="1" applyProtection="1"/>
    <xf numFmtId="0" fontId="6" fillId="0" borderId="12" xfId="40" applyFont="1" applyBorder="1" applyProtection="1"/>
    <xf numFmtId="5" fontId="6" fillId="0" borderId="51" xfId="23" applyNumberFormat="1" applyFont="1" applyFill="1" applyBorder="1" applyAlignment="1" applyProtection="1">
      <alignment horizontal="center" vertical="center"/>
    </xf>
    <xf numFmtId="164" fontId="3" fillId="0" borderId="4" xfId="40" applyNumberFormat="1" applyFont="1" applyFill="1" applyBorder="1" applyAlignment="1">
      <alignment horizontal="center" vertical="center"/>
    </xf>
    <xf numFmtId="6" fontId="6" fillId="0" borderId="11" xfId="40" applyNumberFormat="1" applyFont="1" applyBorder="1" applyAlignment="1">
      <alignment horizontal="center" vertical="center" wrapText="1"/>
    </xf>
    <xf numFmtId="164" fontId="3" fillId="0" borderId="6" xfId="40" applyNumberFormat="1" applyFont="1" applyFill="1" applyBorder="1" applyAlignment="1">
      <alignment horizontal="center" vertical="center"/>
    </xf>
    <xf numFmtId="0" fontId="6" fillId="0" borderId="3" xfId="40" applyFont="1" applyBorder="1" applyAlignment="1">
      <alignment horizontal="center" vertical="center"/>
    </xf>
    <xf numFmtId="6" fontId="6" fillId="0" borderId="16" xfId="40" applyNumberFormat="1" applyFont="1" applyBorder="1" applyAlignment="1">
      <alignment horizontal="center" vertical="center" wrapText="1"/>
    </xf>
    <xf numFmtId="0" fontId="0" fillId="0" borderId="0" xfId="46" applyFont="1" applyFill="1" applyBorder="1" applyAlignment="1">
      <alignment vertical="center"/>
    </xf>
    <xf numFmtId="0" fontId="3" fillId="13" borderId="1" xfId="40" applyFont="1" applyFill="1" applyBorder="1" applyAlignment="1">
      <alignment horizontal="center"/>
    </xf>
    <xf numFmtId="0" fontId="3" fillId="13" borderId="30" xfId="40" applyFont="1" applyFill="1" applyBorder="1" applyAlignment="1">
      <alignment horizontal="center"/>
    </xf>
    <xf numFmtId="0" fontId="3" fillId="13" borderId="2" xfId="40" applyFont="1" applyFill="1" applyBorder="1" applyAlignment="1">
      <alignment horizontal="center"/>
    </xf>
    <xf numFmtId="164" fontId="3" fillId="23" borderId="8" xfId="1" applyNumberFormat="1" applyFont="1" applyFill="1" applyBorder="1" applyAlignment="1" applyProtection="1">
      <alignment horizontal="center"/>
    </xf>
    <xf numFmtId="164" fontId="3" fillId="23" borderId="14" xfId="1" applyNumberFormat="1" applyFont="1" applyFill="1" applyBorder="1" applyAlignment="1" applyProtection="1">
      <alignment horizontal="center"/>
    </xf>
    <xf numFmtId="164" fontId="3" fillId="6" borderId="8" xfId="40" applyNumberFormat="1" applyFont="1" applyFill="1" applyBorder="1" applyAlignment="1" applyProtection="1">
      <alignment horizontal="center"/>
    </xf>
    <xf numFmtId="164" fontId="3" fillId="6" borderId="14" xfId="40" applyNumberFormat="1" applyFont="1" applyFill="1" applyBorder="1" applyAlignment="1" applyProtection="1">
      <alignment horizontal="center"/>
    </xf>
    <xf numFmtId="164" fontId="3" fillId="7" borderId="45" xfId="40" applyNumberFormat="1" applyFont="1" applyFill="1" applyBorder="1" applyAlignment="1" applyProtection="1">
      <alignment horizontal="center" vertical="center"/>
    </xf>
    <xf numFmtId="164" fontId="3" fillId="7" borderId="8" xfId="40" applyNumberFormat="1" applyFont="1" applyFill="1" applyBorder="1" applyAlignment="1" applyProtection="1">
      <alignment horizontal="center" vertical="center"/>
    </xf>
    <xf numFmtId="164" fontId="3" fillId="7" borderId="46" xfId="40" applyNumberFormat="1" applyFont="1" applyFill="1" applyBorder="1" applyAlignment="1" applyProtection="1">
      <alignment horizontal="center" vertical="center"/>
    </xf>
    <xf numFmtId="165" fontId="5" fillId="17" borderId="12" xfId="40" applyNumberFormat="1" applyFont="1" applyFill="1" applyBorder="1" applyAlignment="1" applyProtection="1">
      <alignment horizontal="center"/>
    </xf>
    <xf numFmtId="165" fontId="5" fillId="17" borderId="33" xfId="40" applyNumberFormat="1" applyFont="1" applyFill="1" applyBorder="1" applyAlignment="1" applyProtection="1">
      <alignment horizontal="center"/>
    </xf>
    <xf numFmtId="165" fontId="5" fillId="17" borderId="69" xfId="40" applyNumberFormat="1" applyFont="1" applyFill="1" applyBorder="1" applyAlignment="1" applyProtection="1">
      <alignment horizontal="center"/>
    </xf>
    <xf numFmtId="0" fontId="8" fillId="17" borderId="7" xfId="1" applyFont="1" applyFill="1" applyBorder="1" applyAlignment="1" applyProtection="1">
      <alignment horizontal="center" wrapText="1"/>
    </xf>
    <xf numFmtId="0" fontId="8" fillId="17" borderId="30" xfId="1" applyFont="1" applyFill="1" applyBorder="1" applyAlignment="1" applyProtection="1">
      <alignment horizontal="center" wrapText="1"/>
    </xf>
    <xf numFmtId="0" fontId="3" fillId="13" borderId="0" xfId="40" applyFont="1" applyFill="1" applyBorder="1" applyAlignment="1" applyProtection="1">
      <alignment horizontal="center" vertical="center"/>
    </xf>
    <xf numFmtId="0" fontId="3" fillId="30" borderId="7" xfId="40" applyFont="1" applyFill="1" applyBorder="1" applyAlignment="1" applyProtection="1">
      <alignment horizontal="center"/>
    </xf>
    <xf numFmtId="0" fontId="3" fillId="30" borderId="8" xfId="40" applyFont="1" applyFill="1" applyBorder="1" applyAlignment="1" applyProtection="1">
      <alignment horizontal="center"/>
    </xf>
    <xf numFmtId="0" fontId="3" fillId="30" borderId="14" xfId="40" applyFont="1" applyFill="1" applyBorder="1" applyAlignment="1" applyProtection="1">
      <alignment horizontal="center"/>
    </xf>
    <xf numFmtId="0" fontId="3" fillId="24" borderId="30" xfId="40" applyFont="1" applyFill="1" applyBorder="1" applyAlignment="1" applyProtection="1">
      <alignment horizontal="center"/>
    </xf>
    <xf numFmtId="0" fontId="3" fillId="13" borderId="0" xfId="40" applyFont="1" applyFill="1" applyBorder="1" applyAlignment="1" applyProtection="1">
      <alignment horizontal="center"/>
    </xf>
    <xf numFmtId="0" fontId="3" fillId="3" borderId="7" xfId="23" applyFont="1" applyFill="1" applyBorder="1" applyAlignment="1" applyProtection="1">
      <alignment horizontal="center" vertical="center"/>
    </xf>
    <xf numFmtId="0" fontId="3" fillId="3" borderId="8" xfId="23" applyFont="1" applyFill="1" applyBorder="1" applyAlignment="1" applyProtection="1">
      <alignment horizontal="center" vertical="center"/>
    </xf>
    <xf numFmtId="0" fontId="3" fillId="3" borderId="14" xfId="23" applyFont="1" applyFill="1" applyBorder="1" applyAlignment="1" applyProtection="1">
      <alignment horizontal="center" vertical="center"/>
    </xf>
    <xf numFmtId="0" fontId="3" fillId="0" borderId="0" xfId="40" applyFont="1" applyFill="1" applyBorder="1" applyAlignment="1" applyProtection="1">
      <alignment horizontal="center"/>
    </xf>
    <xf numFmtId="0" fontId="3" fillId="0" borderId="37" xfId="40" applyFont="1" applyBorder="1" applyAlignment="1" applyProtection="1">
      <alignment horizontal="left" vertical="center"/>
    </xf>
    <xf numFmtId="0" fontId="3" fillId="0" borderId="39" xfId="40" applyFont="1" applyBorder="1" applyAlignment="1" applyProtection="1">
      <alignment horizontal="left" vertical="center"/>
    </xf>
    <xf numFmtId="0" fontId="3" fillId="0" borderId="40" xfId="40" applyFont="1" applyBorder="1" applyAlignment="1" applyProtection="1">
      <alignment horizontal="left" vertical="center"/>
    </xf>
    <xf numFmtId="0" fontId="3" fillId="0" borderId="37" xfId="40" applyFont="1" applyBorder="1" applyAlignment="1" applyProtection="1">
      <alignment horizontal="left" vertical="center" wrapText="1"/>
    </xf>
    <xf numFmtId="0" fontId="3" fillId="0" borderId="39" xfId="40" applyFont="1" applyBorder="1" applyAlignment="1" applyProtection="1">
      <alignment horizontal="left" vertical="center" wrapText="1"/>
    </xf>
    <xf numFmtId="0" fontId="3" fillId="0" borderId="40" xfId="40" applyFont="1" applyBorder="1" applyAlignment="1" applyProtection="1">
      <alignment horizontal="left" vertical="center" wrapText="1"/>
    </xf>
    <xf numFmtId="0" fontId="3" fillId="4" borderId="7" xfId="23" applyFont="1" applyFill="1" applyBorder="1" applyAlignment="1" applyProtection="1">
      <alignment horizontal="center" vertical="center"/>
      <protection locked="0"/>
    </xf>
    <xf numFmtId="0" fontId="3" fillId="4" borderId="8" xfId="23" applyFont="1" applyFill="1" applyBorder="1" applyAlignment="1" applyProtection="1">
      <alignment horizontal="center" vertical="center"/>
      <protection locked="0"/>
    </xf>
    <xf numFmtId="0" fontId="3" fillId="4" borderId="14" xfId="23" applyFont="1" applyFill="1" applyBorder="1" applyAlignment="1" applyProtection="1">
      <alignment horizontal="center" vertical="center"/>
      <protection locked="0"/>
    </xf>
    <xf numFmtId="0" fontId="3" fillId="2" borderId="7" xfId="23" applyFont="1" applyFill="1" applyBorder="1" applyAlignment="1" applyProtection="1">
      <alignment horizontal="center" vertical="center" wrapText="1"/>
    </xf>
    <xf numFmtId="0" fontId="3" fillId="2" borderId="77" xfId="23" applyFont="1" applyFill="1" applyBorder="1" applyAlignment="1" applyProtection="1">
      <alignment horizontal="center" vertical="center" wrapText="1"/>
    </xf>
    <xf numFmtId="0" fontId="6" fillId="2" borderId="52" xfId="23" applyFont="1" applyFill="1" applyBorder="1" applyAlignment="1" applyProtection="1">
      <alignment horizontal="center" vertical="center"/>
    </xf>
    <xf numFmtId="165" fontId="5" fillId="17" borderId="47" xfId="40" applyNumberFormat="1" applyFont="1" applyFill="1" applyBorder="1" applyAlignment="1" applyProtection="1">
      <alignment horizontal="center"/>
    </xf>
    <xf numFmtId="0" fontId="6" fillId="0" borderId="7" xfId="40" applyFont="1" applyBorder="1" applyAlignment="1" applyProtection="1">
      <alignment horizontal="center"/>
    </xf>
    <xf numFmtId="0" fontId="6" fillId="0" borderId="8" xfId="40" applyFont="1" applyBorder="1" applyAlignment="1" applyProtection="1">
      <alignment horizontal="center"/>
    </xf>
    <xf numFmtId="0" fontId="6" fillId="0" borderId="14" xfId="40" applyFont="1" applyBorder="1" applyAlignment="1" applyProtection="1">
      <alignment horizontal="center"/>
    </xf>
    <xf numFmtId="0" fontId="3" fillId="23" borderId="7" xfId="40" applyFont="1" applyFill="1" applyBorder="1" applyAlignment="1" applyProtection="1">
      <alignment horizontal="left" wrapText="1"/>
    </xf>
    <xf numFmtId="0" fontId="3" fillId="23" borderId="8" xfId="40" applyFont="1" applyFill="1" applyBorder="1" applyAlignment="1" applyProtection="1">
      <alignment horizontal="left" wrapText="1"/>
    </xf>
    <xf numFmtId="0" fontId="3" fillId="6" borderId="7" xfId="40" applyFont="1" applyFill="1" applyBorder="1" applyAlignment="1" applyProtection="1">
      <alignment horizontal="left" wrapText="1"/>
    </xf>
    <xf numFmtId="0" fontId="3" fillId="6" borderId="8" xfId="40" applyFont="1" applyFill="1" applyBorder="1" applyAlignment="1" applyProtection="1">
      <alignment horizontal="left" wrapText="1"/>
    </xf>
    <xf numFmtId="165" fontId="5" fillId="0" borderId="0" xfId="40" applyNumberFormat="1" applyFont="1" applyFill="1" applyBorder="1" applyAlignment="1" applyProtection="1">
      <alignment horizontal="center"/>
    </xf>
    <xf numFmtId="0" fontId="3" fillId="0" borderId="43" xfId="40" applyFont="1" applyBorder="1" applyAlignment="1" applyProtection="1">
      <alignment horizontal="left" vertical="center" wrapText="1"/>
    </xf>
    <xf numFmtId="165" fontId="5" fillId="0" borderId="16" xfId="40" applyNumberFormat="1" applyFont="1" applyFill="1" applyBorder="1" applyAlignment="1" applyProtection="1">
      <alignment horizontal="center"/>
    </xf>
    <xf numFmtId="0" fontId="6" fillId="0" borderId="7" xfId="40" applyFont="1" applyFill="1" applyBorder="1" applyAlignment="1" applyProtection="1">
      <alignment horizontal="center"/>
    </xf>
    <xf numFmtId="0" fontId="6" fillId="0" borderId="8" xfId="40" applyFont="1" applyFill="1" applyBorder="1" applyAlignment="1" applyProtection="1">
      <alignment horizontal="center"/>
    </xf>
    <xf numFmtId="0" fontId="6" fillId="0" borderId="14" xfId="40" applyFont="1" applyFill="1" applyBorder="1" applyAlignment="1" applyProtection="1">
      <alignment horizontal="center"/>
    </xf>
    <xf numFmtId="0" fontId="6" fillId="0" borderId="7" xfId="40" applyFont="1" applyFill="1" applyBorder="1" applyAlignment="1">
      <alignment horizontal="center"/>
    </xf>
    <xf numFmtId="0" fontId="6" fillId="0" borderId="8" xfId="40" applyFont="1" applyFill="1" applyBorder="1" applyAlignment="1">
      <alignment horizontal="center"/>
    </xf>
    <xf numFmtId="0" fontId="6" fillId="0" borderId="14" xfId="40" applyFont="1" applyFill="1" applyBorder="1" applyAlignment="1">
      <alignment horizontal="center"/>
    </xf>
    <xf numFmtId="0" fontId="6" fillId="0" borderId="3" xfId="40" applyFont="1" applyBorder="1" applyAlignment="1">
      <alignment horizontal="center" vertical="center" wrapText="1"/>
    </xf>
    <xf numFmtId="0" fontId="6" fillId="0" borderId="4" xfId="40" applyFont="1" applyBorder="1" applyAlignment="1">
      <alignment horizontal="center" vertical="center" wrapText="1"/>
    </xf>
    <xf numFmtId="0" fontId="3" fillId="13" borderId="3" xfId="40" applyFont="1" applyFill="1" applyBorder="1" applyAlignment="1">
      <alignment horizontal="center"/>
    </xf>
    <xf numFmtId="0" fontId="3" fillId="13" borderId="0" xfId="40" applyFont="1" applyFill="1" applyBorder="1" applyAlignment="1">
      <alignment horizontal="center"/>
    </xf>
    <xf numFmtId="0" fontId="3" fillId="13" borderId="4" xfId="40" applyFont="1" applyFill="1" applyBorder="1" applyAlignment="1">
      <alignment horizontal="center"/>
    </xf>
    <xf numFmtId="0" fontId="3" fillId="0" borderId="3" xfId="40" applyFont="1" applyBorder="1" applyAlignment="1">
      <alignment horizontal="center"/>
    </xf>
    <xf numFmtId="0" fontId="3" fillId="0" borderId="4" xfId="40" applyFont="1" applyBorder="1" applyAlignment="1">
      <alignment horizontal="center"/>
    </xf>
    <xf numFmtId="0" fontId="23" fillId="0" borderId="0" xfId="24" applyFont="1" applyFill="1" applyAlignment="1">
      <alignment horizontal="center"/>
    </xf>
    <xf numFmtId="0" fontId="13" fillId="0" borderId="0" xfId="0" applyFont="1" applyFill="1" applyAlignment="1">
      <alignment horizontal="center"/>
    </xf>
    <xf numFmtId="0" fontId="5" fillId="0" borderId="61" xfId="1" applyFont="1" applyFill="1" applyBorder="1" applyAlignment="1">
      <alignment horizontal="center" vertical="center" wrapText="1"/>
    </xf>
    <xf numFmtId="0" fontId="5" fillId="0" borderId="94" xfId="1" applyFont="1" applyFill="1" applyBorder="1" applyAlignment="1">
      <alignment horizontal="center" vertical="center" wrapText="1"/>
    </xf>
    <xf numFmtId="0" fontId="5" fillId="0" borderId="96" xfId="1" applyFont="1" applyBorder="1" applyAlignment="1">
      <alignment horizontal="center" vertical="center"/>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5" fillId="0" borderId="100" xfId="1" applyFont="1" applyBorder="1" applyAlignment="1">
      <alignment horizontal="center" vertical="center"/>
    </xf>
    <xf numFmtId="0" fontId="5" fillId="0" borderId="84" xfId="1" applyFont="1" applyBorder="1" applyAlignment="1">
      <alignment horizontal="center" vertical="center"/>
    </xf>
    <xf numFmtId="0" fontId="5" fillId="0" borderId="85" xfId="1" applyFont="1" applyBorder="1" applyAlignment="1">
      <alignment horizontal="center" vertical="center"/>
    </xf>
    <xf numFmtId="0" fontId="5" fillId="0" borderId="86" xfId="1" applyFont="1" applyFill="1" applyBorder="1" applyAlignment="1">
      <alignment horizontal="center" vertical="center" wrapText="1"/>
    </xf>
    <xf numFmtId="0" fontId="5" fillId="0" borderId="90" xfId="1" applyFont="1" applyFill="1" applyBorder="1" applyAlignment="1">
      <alignment horizontal="center" vertical="center" wrapText="1"/>
    </xf>
    <xf numFmtId="0" fontId="5" fillId="0" borderId="87" xfId="1" applyFont="1" applyBorder="1" applyAlignment="1">
      <alignment horizontal="center" vertical="center" wrapText="1"/>
    </xf>
    <xf numFmtId="0" fontId="5" fillId="0" borderId="89" xfId="1" applyFont="1" applyBorder="1" applyAlignment="1">
      <alignment horizontal="center" vertical="center" wrapText="1"/>
    </xf>
    <xf numFmtId="0" fontId="5" fillId="0" borderId="88" xfId="1" applyFont="1" applyBorder="1" applyAlignment="1">
      <alignment horizontal="center" vertical="center" wrapText="1"/>
    </xf>
    <xf numFmtId="0" fontId="5" fillId="0" borderId="93" xfId="1" applyFont="1" applyBorder="1" applyAlignment="1">
      <alignment horizontal="center" vertical="center" wrapText="1"/>
    </xf>
    <xf numFmtId="3" fontId="0" fillId="0" borderId="0" xfId="0" applyNumberFormat="1" applyFill="1" applyAlignment="1">
      <alignment horizontal="center"/>
    </xf>
    <xf numFmtId="4" fontId="0" fillId="0" borderId="0" xfId="0" applyNumberFormat="1" applyFill="1" applyBorder="1" applyAlignment="1">
      <alignment horizontal="center"/>
    </xf>
    <xf numFmtId="0" fontId="0" fillId="0" borderId="0" xfId="0" applyNumberFormat="1" applyFill="1" applyBorder="1" applyAlignment="1">
      <alignment horizontal="center" wrapText="1"/>
    </xf>
    <xf numFmtId="0" fontId="0" fillId="0" borderId="0" xfId="0" applyNumberFormat="1" applyFill="1" applyAlignment="1">
      <alignment horizontal="center" wrapText="1"/>
    </xf>
    <xf numFmtId="4" fontId="0" fillId="0" borderId="0" xfId="0" applyNumberFormat="1" applyFill="1" applyAlignment="1">
      <alignment horizontal="center"/>
    </xf>
    <xf numFmtId="0" fontId="0" fillId="0" borderId="0" xfId="0" applyFill="1" applyAlignment="1">
      <alignment horizontal="center"/>
    </xf>
    <xf numFmtId="4" fontId="0" fillId="29" borderId="0" xfId="0" applyNumberFormat="1" applyFill="1" applyBorder="1" applyAlignment="1">
      <alignment horizontal="center" wrapText="1"/>
    </xf>
  </cellXfs>
  <cellStyles count="55">
    <cellStyle name="%" xfId="11"/>
    <cellStyle name="]_x000d__x000a_Zoomed=1_x000d__x000a_Row=0_x000d__x000a_Column=0_x000d__x000a_Height=0_x000d__x000a_Width=0_x000d__x000a_FontName=FoxFont_x000d__x000a_FontStyle=0_x000d__x000a_FontSize=9_x000d__x000a_PrtFontName=FoxPrin" xfId="3"/>
    <cellStyle name="Comma 2" xfId="12"/>
    <cellStyle name="Comma 3" xfId="13"/>
    <cellStyle name="Comma 4" xfId="14"/>
    <cellStyle name="Currency 2" xfId="15"/>
    <cellStyle name="Currency 3" xfId="16"/>
    <cellStyle name="Currency 4" xfId="17"/>
    <cellStyle name="Estimated" xfId="18"/>
    <cellStyle name="external input" xfId="19"/>
    <cellStyle name="Header" xfId="4"/>
    <cellStyle name="HeaderGrant" xfId="5"/>
    <cellStyle name="HeaderLEA" xfId="6"/>
    <cellStyle name="Imported" xfId="20"/>
    <cellStyle name="LEAName" xfId="7"/>
    <cellStyle name="LEANumber" xfId="8"/>
    <cellStyle name="log projection" xfId="21"/>
    <cellStyle name="Normal" xfId="0" builtinId="0"/>
    <cellStyle name="Normal 2" xfId="1"/>
    <cellStyle name="Normal 2 2" xfId="22"/>
    <cellStyle name="Normal 2 2 2" xfId="44"/>
    <cellStyle name="Normal 3" xfId="23"/>
    <cellStyle name="Normal 3 2" xfId="35"/>
    <cellStyle name="Normal 3 2 2" xfId="46"/>
    <cellStyle name="Normal 4" xfId="24"/>
    <cellStyle name="Normal 4 2" xfId="34"/>
    <cellStyle name="Normal 4 2 2" xfId="45"/>
    <cellStyle name="Normal 5" xfId="39"/>
    <cellStyle name="Normal 5 2" xfId="42"/>
    <cellStyle name="Normal 5 2 2" xfId="50"/>
    <cellStyle name="Normal 6" xfId="40"/>
    <cellStyle name="Normal 6 2" xfId="53"/>
    <cellStyle name="Normal 6 3" xfId="54"/>
    <cellStyle name="Normal 7" xfId="43"/>
    <cellStyle name="Normal 7 2" xfId="47"/>
    <cellStyle name="Normal 8" xfId="51"/>
    <cellStyle name="Normal_Book2" xfId="36"/>
    <cellStyle name="Normal_Book2 2" xfId="48"/>
    <cellStyle name="Normal_PVI Hours 2010-11" xfId="37"/>
    <cellStyle name="Normal_PVI Hours 2010-11 2" xfId="49"/>
    <cellStyle name="Normal_Sheet1" xfId="38"/>
    <cellStyle name="Normal_Sheet1 2" xfId="41"/>
    <cellStyle name="Normal_Sheet1_Early Years Formula Actual 2012-13" xfId="52"/>
    <cellStyle name="Number" xfId="9"/>
    <cellStyle name="Percent 2" xfId="2"/>
    <cellStyle name="Percent 2 2" xfId="10"/>
    <cellStyle name="Percent 3" xfId="25"/>
    <cellStyle name="provisional PN158/97" xfId="26"/>
    <cellStyle name="Style 1" xfId="27"/>
    <cellStyle name="sub" xfId="28"/>
    <cellStyle name="table imported" xfId="29"/>
    <cellStyle name="table sum" xfId="30"/>
    <cellStyle name="table values" xfId="31"/>
    <cellStyle name="u5shares" xfId="32"/>
    <cellStyle name="Variable assumptions" xfId="33"/>
  </cellStyles>
  <dxfs count="2">
    <dxf>
      <font>
        <condense val="0"/>
        <extend val="0"/>
        <color indexed="41"/>
      </font>
      <fill>
        <patternFill>
          <bgColor indexed="41"/>
        </patternFill>
      </fill>
    </dxf>
    <dxf>
      <font>
        <condense val="0"/>
        <extend val="0"/>
        <color indexed="41"/>
      </font>
      <fill>
        <patternFill>
          <bgColor indexed="41"/>
        </patternFill>
      </fill>
    </dxf>
  </dxfs>
  <tableStyles count="0" defaultTableStyle="TableStyleMedium2" defaultPivotStyle="PivotStyleLight16"/>
  <colors>
    <mruColors>
      <color rgb="FFCCFFFF"/>
      <color rgb="FF66FFFF"/>
      <color rgb="FFFFFF99"/>
      <color rgb="FFFFFF66"/>
      <color rgb="FFFFFFCC"/>
      <color rgb="FFD9D9D7"/>
      <color rgb="FFE8F37B"/>
      <color rgb="FFC3A9BF"/>
      <color rgb="FFCD9FC4"/>
      <color rgb="FF72E5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csdata/FINANCE/lms%20formula%20&amp;%20S52/2014-2015/2014-15%20October%20Submission/Proforma%20-%20Final%20V2.0/Derby_APT1415-18jun13-v1_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lms%20formula%20&amp;%20S52/2013-2014/Formula%20Funding%20Consultation/DFESXXX_831LLLL_S251B1213(1)%20VALUES%20ONLY%20FOR%20SUBMISSION%2029.3.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CENTRAL1\School%20Imp%20&amp;%20Inclusion\SENSS%20EDB\2003-04\Finance%20Planner%20-%20SENSS%202003-0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c-fs03\educsdata\Budget%20Monitoring\STF\STF%202010-11\SSG%202008-11%20-%20SSG%20LA%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3-14 submitted Baselines"/>
      <sheetName val="Input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row r="6">
          <cell r="BQ6" t="str">
            <v>School closed prior to 1 April 2014</v>
          </cell>
        </row>
        <row r="7">
          <cell r="BQ7" t="str">
            <v>New School opening prior to 1 April 2014</v>
          </cell>
        </row>
        <row r="8">
          <cell r="BQ8" t="str">
            <v>New School opening after 1 April 2014</v>
          </cell>
        </row>
        <row r="9">
          <cell r="BQ9" t="str">
            <v>Amalgamation of schools prior to 1 April 2014</v>
          </cell>
        </row>
        <row r="10">
          <cell r="BQ10" t="str">
            <v>Change in pupil numbers/factors</v>
          </cell>
        </row>
        <row r="11">
          <cell r="BQ11" t="str">
            <v>Conversion to academy status prior to 1 January 2014</v>
          </cell>
        </row>
        <row r="12">
          <cell r="BQ12" t="str">
            <v>Basic Needs Academy</v>
          </cell>
        </row>
        <row r="13">
          <cell r="BQ13" t="str">
            <v>Other</v>
          </cell>
        </row>
      </sheetData>
      <sheetData sheetId="5">
        <row r="5">
          <cell r="Z5">
            <v>0</v>
          </cell>
        </row>
      </sheetData>
      <sheetData sheetId="6"/>
      <sheetData sheetId="7"/>
      <sheetData sheetId="8"/>
      <sheetData sheetId="9">
        <row r="9">
          <cell r="E9" t="str">
            <v>No</v>
          </cell>
        </row>
        <row r="11">
          <cell r="E11">
            <v>2463.9300000000003</v>
          </cell>
          <cell r="L11">
            <v>8.2066725380455882E-2</v>
          </cell>
        </row>
        <row r="12">
          <cell r="E12">
            <v>3483.8</v>
          </cell>
          <cell r="L12">
            <v>5.8466808274489537E-2</v>
          </cell>
        </row>
        <row r="13">
          <cell r="E13">
            <v>3923.9</v>
          </cell>
          <cell r="L13">
            <v>5.1909239956845654E-2</v>
          </cell>
        </row>
        <row r="15">
          <cell r="D15" t="str">
            <v>FSM6 % Primary</v>
          </cell>
          <cell r="E15">
            <v>932.89</v>
          </cell>
          <cell r="L15">
            <v>0.4</v>
          </cell>
        </row>
        <row r="16">
          <cell r="D16" t="str">
            <v>FSM6 % Secondary</v>
          </cell>
          <cell r="F16">
            <v>714.41</v>
          </cell>
          <cell r="M16">
            <v>0.4</v>
          </cell>
        </row>
        <row r="17">
          <cell r="E17">
            <v>116.98</v>
          </cell>
          <cell r="F17">
            <v>92.81</v>
          </cell>
          <cell r="L17">
            <v>0.4</v>
          </cell>
          <cell r="M17">
            <v>0.4</v>
          </cell>
        </row>
        <row r="18">
          <cell r="E18">
            <v>234.2</v>
          </cell>
          <cell r="F18">
            <v>186.3</v>
          </cell>
          <cell r="L18">
            <v>0.4</v>
          </cell>
          <cell r="M18">
            <v>0.4</v>
          </cell>
        </row>
        <row r="19">
          <cell r="E19">
            <v>351.87</v>
          </cell>
          <cell r="F19">
            <v>279.36</v>
          </cell>
          <cell r="L19">
            <v>0.4</v>
          </cell>
          <cell r="M19">
            <v>0.4</v>
          </cell>
        </row>
        <row r="20">
          <cell r="E20">
            <v>469.09</v>
          </cell>
          <cell r="F20">
            <v>372.42</v>
          </cell>
          <cell r="L20">
            <v>0.4</v>
          </cell>
          <cell r="M20">
            <v>0.4</v>
          </cell>
        </row>
        <row r="21">
          <cell r="E21">
            <v>938.42</v>
          </cell>
          <cell r="F21">
            <v>745.51</v>
          </cell>
          <cell r="L21">
            <v>0.4</v>
          </cell>
          <cell r="M21">
            <v>0.4</v>
          </cell>
        </row>
        <row r="22">
          <cell r="E22">
            <v>938.42</v>
          </cell>
          <cell r="F22">
            <v>745.51</v>
          </cell>
          <cell r="L22">
            <v>0.4</v>
          </cell>
          <cell r="M22">
            <v>0.4</v>
          </cell>
        </row>
        <row r="24">
          <cell r="E24">
            <v>1185.1199999999999</v>
          </cell>
          <cell r="L24">
            <v>1</v>
          </cell>
        </row>
        <row r="25">
          <cell r="D25" t="str">
            <v>N/A</v>
          </cell>
        </row>
        <row r="26">
          <cell r="F26">
            <v>581.08000000000004</v>
          </cell>
          <cell r="M26">
            <v>1</v>
          </cell>
        </row>
        <row r="27">
          <cell r="D27" t="str">
            <v>EAL 3 Primary</v>
          </cell>
          <cell r="E27">
            <v>792.45</v>
          </cell>
          <cell r="L27">
            <v>0.45</v>
          </cell>
        </row>
        <row r="28">
          <cell r="D28" t="str">
            <v>EAL 3 Secondary</v>
          </cell>
          <cell r="F28">
            <v>2327.5700000000002</v>
          </cell>
          <cell r="M28">
            <v>0.45</v>
          </cell>
        </row>
        <row r="29">
          <cell r="E29">
            <v>979.33</v>
          </cell>
          <cell r="F29">
            <v>5823.33</v>
          </cell>
          <cell r="L29">
            <v>1</v>
          </cell>
          <cell r="M29">
            <v>1</v>
          </cell>
        </row>
        <row r="35">
          <cell r="E35">
            <v>100000</v>
          </cell>
          <cell r="G35">
            <v>150000</v>
          </cell>
          <cell r="L35">
            <v>0</v>
          </cell>
        </row>
        <row r="36">
          <cell r="E36">
            <v>0</v>
          </cell>
          <cell r="G36">
            <v>0</v>
          </cell>
          <cell r="L36">
            <v>0</v>
          </cell>
        </row>
        <row r="40">
          <cell r="L40">
            <v>0</v>
          </cell>
        </row>
        <row r="41">
          <cell r="L41">
            <v>0</v>
          </cell>
        </row>
        <row r="42">
          <cell r="L42">
            <v>0</v>
          </cell>
        </row>
        <row r="43">
          <cell r="L43">
            <v>0</v>
          </cell>
        </row>
        <row r="44">
          <cell r="L44">
            <v>0</v>
          </cell>
        </row>
        <row r="47">
          <cell r="L47">
            <v>0</v>
          </cell>
        </row>
        <row r="48">
          <cell r="L48">
            <v>0</v>
          </cell>
        </row>
        <row r="49">
          <cell r="L49">
            <v>0</v>
          </cell>
        </row>
        <row r="50">
          <cell r="L50">
            <v>0</v>
          </cell>
        </row>
        <row r="51">
          <cell r="L51">
            <v>0</v>
          </cell>
        </row>
        <row r="52">
          <cell r="L52">
            <v>0</v>
          </cell>
        </row>
        <row r="57">
          <cell r="J57" t="str">
            <v>Yes</v>
          </cell>
        </row>
        <row r="58">
          <cell r="D58">
            <v>0</v>
          </cell>
          <cell r="G58">
            <v>0</v>
          </cell>
        </row>
      </sheetData>
      <sheetData sheetId="10">
        <row r="8">
          <cell r="V8">
            <v>73.013413092534819</v>
          </cell>
        </row>
        <row r="9">
          <cell r="W9">
            <v>59.501067947573944</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1">
        <row r="5">
          <cell r="AC5">
            <v>9050000</v>
          </cell>
          <cell r="AD5">
            <v>0</v>
          </cell>
          <cell r="AE5">
            <v>0</v>
          </cell>
          <cell r="AF5">
            <v>19329.919999999998</v>
          </cell>
          <cell r="AG5">
            <v>1705581.59</v>
          </cell>
          <cell r="AH5">
            <v>1011061.4900000001</v>
          </cell>
          <cell r="AI5">
            <v>0</v>
          </cell>
          <cell r="AJ5">
            <v>0</v>
          </cell>
          <cell r="AK5">
            <v>0</v>
          </cell>
          <cell r="AL5">
            <v>0</v>
          </cell>
          <cell r="AM5">
            <v>0</v>
          </cell>
          <cell r="AN5">
            <v>0</v>
          </cell>
          <cell r="AO5">
            <v>0</v>
          </cell>
          <cell r="AS5">
            <v>17739483.207509585</v>
          </cell>
          <cell r="AU5">
            <v>73151351.207061008</v>
          </cell>
          <cell r="AV5">
            <v>60228091.900499485</v>
          </cell>
          <cell r="BB5">
            <v>2222814.5571497544</v>
          </cell>
        </row>
        <row r="6">
          <cell r="C6">
            <v>8312000</v>
          </cell>
        </row>
        <row r="7">
          <cell r="C7">
            <v>8312001</v>
          </cell>
        </row>
        <row r="8">
          <cell r="C8">
            <v>8312002</v>
          </cell>
        </row>
        <row r="9">
          <cell r="C9">
            <v>8312003</v>
          </cell>
        </row>
        <row r="10">
          <cell r="C10">
            <v>8312004</v>
          </cell>
        </row>
        <row r="11">
          <cell r="C11">
            <v>8312005</v>
          </cell>
        </row>
        <row r="12">
          <cell r="C12">
            <v>8312006</v>
          </cell>
        </row>
        <row r="13">
          <cell r="C13">
            <v>8312400</v>
          </cell>
        </row>
        <row r="14">
          <cell r="C14">
            <v>8312405</v>
          </cell>
        </row>
        <row r="15">
          <cell r="C15">
            <v>8312409</v>
          </cell>
        </row>
        <row r="16">
          <cell r="C16">
            <v>8312420</v>
          </cell>
        </row>
        <row r="17">
          <cell r="C17">
            <v>8312423</v>
          </cell>
        </row>
        <row r="18">
          <cell r="C18">
            <v>8312424</v>
          </cell>
        </row>
        <row r="19">
          <cell r="C19">
            <v>8312429</v>
          </cell>
        </row>
        <row r="20">
          <cell r="C20">
            <v>8312430</v>
          </cell>
        </row>
        <row r="21">
          <cell r="C21">
            <v>8312432</v>
          </cell>
        </row>
        <row r="22">
          <cell r="C22">
            <v>8312433</v>
          </cell>
        </row>
        <row r="23">
          <cell r="C23">
            <v>8312434</v>
          </cell>
        </row>
        <row r="24">
          <cell r="C24">
            <v>8312436</v>
          </cell>
        </row>
        <row r="25">
          <cell r="C25">
            <v>8312439</v>
          </cell>
        </row>
        <row r="26">
          <cell r="C26">
            <v>8312440</v>
          </cell>
        </row>
        <row r="27">
          <cell r="C27">
            <v>8312442</v>
          </cell>
        </row>
        <row r="28">
          <cell r="C28">
            <v>8312443</v>
          </cell>
        </row>
        <row r="29">
          <cell r="C29">
            <v>8312444</v>
          </cell>
        </row>
        <row r="30">
          <cell r="C30">
            <v>8312446</v>
          </cell>
        </row>
        <row r="31">
          <cell r="C31">
            <v>8312447</v>
          </cell>
        </row>
        <row r="32">
          <cell r="C32">
            <v>8312448</v>
          </cell>
        </row>
        <row r="33">
          <cell r="C33">
            <v>8312449</v>
          </cell>
        </row>
        <row r="34">
          <cell r="C34">
            <v>8312451</v>
          </cell>
        </row>
        <row r="35">
          <cell r="C35">
            <v>8312452</v>
          </cell>
        </row>
        <row r="36">
          <cell r="C36">
            <v>8312455</v>
          </cell>
        </row>
        <row r="37">
          <cell r="C37">
            <v>8312456</v>
          </cell>
        </row>
        <row r="38">
          <cell r="C38">
            <v>8312457</v>
          </cell>
        </row>
        <row r="39">
          <cell r="C39">
            <v>8312458</v>
          </cell>
        </row>
        <row r="40">
          <cell r="C40">
            <v>8312459</v>
          </cell>
        </row>
        <row r="41">
          <cell r="C41">
            <v>8312462</v>
          </cell>
        </row>
        <row r="42">
          <cell r="C42">
            <v>8312463</v>
          </cell>
        </row>
        <row r="43">
          <cell r="C43">
            <v>8312464</v>
          </cell>
        </row>
        <row r="44">
          <cell r="C44">
            <v>8312466</v>
          </cell>
        </row>
        <row r="45">
          <cell r="C45">
            <v>8312467</v>
          </cell>
        </row>
        <row r="46">
          <cell r="C46">
            <v>8312469</v>
          </cell>
        </row>
        <row r="47">
          <cell r="C47">
            <v>8312471</v>
          </cell>
        </row>
        <row r="48">
          <cell r="C48">
            <v>8312473</v>
          </cell>
        </row>
        <row r="49">
          <cell r="C49">
            <v>8312505</v>
          </cell>
        </row>
        <row r="50">
          <cell r="C50">
            <v>8312509</v>
          </cell>
        </row>
        <row r="51">
          <cell r="C51">
            <v>8312512</v>
          </cell>
        </row>
        <row r="52">
          <cell r="C52">
            <v>8312515</v>
          </cell>
        </row>
        <row r="53">
          <cell r="C53">
            <v>8312518</v>
          </cell>
        </row>
        <row r="54">
          <cell r="C54">
            <v>8312522</v>
          </cell>
        </row>
        <row r="55">
          <cell r="C55">
            <v>8312619</v>
          </cell>
        </row>
        <row r="56">
          <cell r="C56">
            <v>8312627</v>
          </cell>
        </row>
        <row r="57">
          <cell r="C57">
            <v>8312629</v>
          </cell>
        </row>
        <row r="58">
          <cell r="C58">
            <v>8313158</v>
          </cell>
        </row>
        <row r="59">
          <cell r="C59">
            <v>8313525</v>
          </cell>
        </row>
        <row r="60">
          <cell r="C60">
            <v>8313526</v>
          </cell>
        </row>
        <row r="61">
          <cell r="C61">
            <v>8313528</v>
          </cell>
        </row>
        <row r="62">
          <cell r="C62">
            <v>8313530</v>
          </cell>
        </row>
        <row r="63">
          <cell r="C63">
            <v>8313532</v>
          </cell>
        </row>
        <row r="64">
          <cell r="C64">
            <v>8313534</v>
          </cell>
        </row>
        <row r="65">
          <cell r="C65">
            <v>8313535</v>
          </cell>
        </row>
        <row r="66">
          <cell r="C66">
            <v>8313542</v>
          </cell>
        </row>
        <row r="67">
          <cell r="C67">
            <v>8313543</v>
          </cell>
        </row>
        <row r="68">
          <cell r="C68">
            <v>8313544</v>
          </cell>
        </row>
        <row r="69">
          <cell r="C69">
            <v>8313546</v>
          </cell>
        </row>
        <row r="70">
          <cell r="C70">
            <v>8315201</v>
          </cell>
        </row>
        <row r="71">
          <cell r="C71">
            <v>8315203</v>
          </cell>
        </row>
        <row r="72">
          <cell r="C72">
            <v>8315209</v>
          </cell>
        </row>
        <row r="73">
          <cell r="C73">
            <v>8314158</v>
          </cell>
        </row>
        <row r="74">
          <cell r="C74">
            <v>8314177</v>
          </cell>
        </row>
        <row r="75">
          <cell r="C75">
            <v>8314178</v>
          </cell>
        </row>
        <row r="76">
          <cell r="C76">
            <v>8314182</v>
          </cell>
        </row>
        <row r="77">
          <cell r="C77">
            <v>8314608</v>
          </cell>
        </row>
        <row r="78">
          <cell r="C78">
            <v>8314609</v>
          </cell>
        </row>
        <row r="79">
          <cell r="C79">
            <v>8315406</v>
          </cell>
        </row>
        <row r="80">
          <cell r="C80">
            <v>8315407</v>
          </cell>
        </row>
        <row r="81">
          <cell r="C81">
            <v>8312007</v>
          </cell>
        </row>
        <row r="82">
          <cell r="C82">
            <v>8312008</v>
          </cell>
        </row>
        <row r="83">
          <cell r="C83">
            <v>8312009</v>
          </cell>
        </row>
        <row r="84">
          <cell r="C84">
            <v>8313531</v>
          </cell>
        </row>
        <row r="85">
          <cell r="C85">
            <v>8314181</v>
          </cell>
        </row>
        <row r="86">
          <cell r="C86">
            <v>8314607</v>
          </cell>
        </row>
        <row r="87">
          <cell r="C87">
            <v>8315402</v>
          </cell>
        </row>
        <row r="88">
          <cell r="C88">
            <v>8315412</v>
          </cell>
        </row>
        <row r="89">
          <cell r="C89">
            <v>8315414</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s"/>
      <sheetName val="Budgets to delegate"/>
      <sheetName val="lines to delegate"/>
      <sheetName val="CoverSheet"/>
      <sheetName val="LATable"/>
      <sheetName val="SchoolTable"/>
    </sheetNames>
    <sheetDataSet>
      <sheetData sheetId="0"/>
      <sheetData sheetId="1">
        <row r="10">
          <cell r="Q10">
            <v>158406</v>
          </cell>
        </row>
      </sheetData>
      <sheetData sheetId="2"/>
      <sheetData sheetId="3"/>
      <sheetData sheetId="4"/>
      <sheetData sheetId="5">
        <row r="5">
          <cell r="L5" t="str">
            <v>Unit Value Block</v>
          </cell>
          <cell r="CM5" t="str">
            <v xml:space="preserve">Additional Spend Block </v>
          </cell>
          <cell r="ER5" t="str">
            <v>Total Spend Block</v>
          </cell>
        </row>
        <row r="6">
          <cell r="G6" t="str">
            <v xml:space="preserve"> Early Years Pupils funded by the Early Years Single Funding Formula - base rates</v>
          </cell>
          <cell r="O6" t="str">
            <v>Funding Provided above the F E in Maintained Providers</v>
          </cell>
          <cell r="U6" t="str">
            <v xml:space="preserve"> Primary : Funding for children admitted to school and in reception classes: pupils funded by year/age groups  -  age-weighted funding primary schools</v>
          </cell>
          <cell r="AM6" t="str">
            <v>SECONDARY:Funding for children admitted to school and in reception classes:  Pupils funded by year/age groups  -  age-weighted funding Secondary schools</v>
          </cell>
          <cell r="BE6" t="str">
            <v>SPECIAL: Place-led funding</v>
          </cell>
          <cell r="BS6" t="str">
            <v>Early Years Specific Factors</v>
          </cell>
          <cell r="CF6" t="str">
            <v>Additional Pupil Led Funding</v>
          </cell>
          <cell r="CN6" t="str">
            <v xml:space="preserve">EFA funding </v>
          </cell>
          <cell r="CQ6" t="str">
            <v>AEN-Learning needs associated with EAL</v>
          </cell>
          <cell r="CU6" t="str">
            <v>Individually assigned resources</v>
          </cell>
          <cell r="CX6" t="str">
            <v>Funding for designated special classes and units</v>
          </cell>
          <cell r="DA6" t="str">
            <v>All other SEN funding</v>
          </cell>
          <cell r="DD6" t="str">
            <v xml:space="preserve">AEN - Including other learning and social needs </v>
          </cell>
          <cell r="DJ6" t="str">
            <v>Premises factors - general</v>
          </cell>
          <cell r="DR6" t="str">
            <v>Premises factors - exceptional circumstances</v>
          </cell>
          <cell r="DY6" t="str">
            <v>School-specific factors - general</v>
          </cell>
          <cell r="EC6" t="str">
            <v>School-specific factors - exceptional circumstances</v>
          </cell>
          <cell r="EF6" t="str">
            <v>Historical grants factors</v>
          </cell>
          <cell r="EI6" t="str">
            <v>Budget adjustments</v>
          </cell>
          <cell r="EV6" t="str">
            <v>MFG Variation Applied</v>
          </cell>
          <cell r="EY6" t="str">
            <v>Other</v>
          </cell>
        </row>
        <row r="7">
          <cell r="G7" t="str">
            <v>Maintained Nursery</v>
          </cell>
          <cell r="H7" t="str">
            <v>School Based Nursery</v>
          </cell>
          <cell r="I7" t="str">
            <v>PVI Pre School Nursery</v>
          </cell>
          <cell r="J7" t="str">
            <v>PVI Day Nursery</v>
          </cell>
          <cell r="L7" t="str">
            <v>Total Early Years
 age-weighted funding</v>
          </cell>
          <cell r="M7" t="str">
            <v>Total estimated hours used in budgets</v>
          </cell>
          <cell r="N7" t="str">
            <v>Total Early Years FTE</v>
          </cell>
          <cell r="S7" t="str">
            <v>Total Additional Funding Provided above the FE in maintained providers</v>
          </cell>
          <cell r="T7" t="str">
            <v>Total estimated additional hours used in budgets</v>
          </cell>
          <cell r="U7" t="str">
            <v>Reception</v>
          </cell>
          <cell r="Y7" t="str">
            <v>Key Stage 1 -Year 1</v>
          </cell>
          <cell r="Z7" t="str">
            <v>Key Stage 1 -Year 2</v>
          </cell>
          <cell r="AA7" t="str">
            <v>Key Stage 2 -Year 3</v>
          </cell>
          <cell r="AB7" t="str">
            <v>Key Stage 2 -Year 4</v>
          </cell>
          <cell r="AC7" t="str">
            <v>Key Stage 2 -Year 5</v>
          </cell>
          <cell r="AD7" t="str">
            <v>Key Stage 2 -Year 6</v>
          </cell>
          <cell r="AK7" t="str">
            <v>Total Primary
age-weighted funding</v>
          </cell>
          <cell r="AL7" t="str">
            <v>Total Primary FTE</v>
          </cell>
          <cell r="AW7" t="str">
            <v>Key Stage 3 -Year 7</v>
          </cell>
          <cell r="AX7" t="str">
            <v>Key Stage 3 -Year 8</v>
          </cell>
          <cell r="AY7" t="str">
            <v>Key Stage 3 -Year 9</v>
          </cell>
          <cell r="AZ7" t="str">
            <v>Key Stage 4 -Year 10</v>
          </cell>
          <cell r="BA7" t="str">
            <v>Key Stage 4 -Year 11</v>
          </cell>
          <cell r="BB7" t="str">
            <v>Retakes (Year 12+)</v>
          </cell>
          <cell r="BC7" t="str">
            <v>Total Secondary
age-weighted funding</v>
          </cell>
          <cell r="BD7" t="str">
            <v>Total Secondary FTE</v>
          </cell>
          <cell r="BE7" t="str">
            <v>Band 2 Y7+</v>
          </cell>
          <cell r="BF7" t="str">
            <v>Band 3 Y3-6</v>
          </cell>
          <cell r="BG7" t="str">
            <v>Band 3 Y7+</v>
          </cell>
          <cell r="BH7" t="str">
            <v>Band 4 Y1-2</v>
          </cell>
          <cell r="BI7" t="str">
            <v>Band 4 Y3-6</v>
          </cell>
          <cell r="BJ7" t="str">
            <v>Band 4 Y7+</v>
          </cell>
          <cell r="BK7" t="str">
            <v>Band 5 Y1-2</v>
          </cell>
          <cell r="BL7" t="str">
            <v>Band 5 Y3-6</v>
          </cell>
          <cell r="BM7" t="str">
            <v>Band 5 Y7+</v>
          </cell>
          <cell r="BN7" t="str">
            <v>Residential Band 4 7+</v>
          </cell>
          <cell r="BO7" t="str">
            <v>Residential Band 5 7+</v>
          </cell>
          <cell r="BP7" t="str">
            <v>Total Special Place-led funding</v>
          </cell>
          <cell r="BQ7" t="str">
            <v>Total Special FTE</v>
          </cell>
          <cell r="BS7" t="str">
            <v>Deprivation</v>
          </cell>
          <cell r="BT7" t="str">
            <v>Maintained Nursery Base</v>
          </cell>
          <cell r="BU7" t="str">
            <v>EAL</v>
          </cell>
          <cell r="BV7" t="str">
            <v>Retrospective Adjustment - TA Hours</v>
          </cell>
          <cell r="BW7" t="str">
            <v>Rates</v>
          </cell>
          <cell r="BX7" t="str">
            <v>Retrospective Adjustment - EYSFF</v>
          </cell>
          <cell r="BY7" t="str">
            <v>Individually Assigned Resources</v>
          </cell>
          <cell r="BZ7" t="str">
            <v>Vulnerable Children</v>
          </cell>
          <cell r="CA7" t="str">
            <v>PVI Funding Cap</v>
          </cell>
          <cell r="CB7" t="str">
            <v>Enhanced Resource School Funding</v>
          </cell>
          <cell r="CC7" t="str">
            <v>Minimum Funding Guarantee</v>
          </cell>
          <cell r="CD7" t="str">
            <v>Transitional Provision</v>
          </cell>
          <cell r="CE7" t="str">
            <v xml:space="preserve">Total Early Years Specific Factors </v>
          </cell>
          <cell r="CF7" t="str">
            <v>KS1 Alternative Funding Routes Class Based</v>
          </cell>
          <cell r="CI7" t="str">
            <v>Catering Free School Meals - Special Schools</v>
          </cell>
          <cell r="CJ7" t="str">
            <v>Insurance Pupil Numbers</v>
          </cell>
          <cell r="CK7" t="str">
            <v>Pupil Number Allocation</v>
          </cell>
          <cell r="CL7" t="str">
            <v>Catering Paid Meals</v>
          </cell>
          <cell r="CM7" t="str">
            <v>Total Additional Funding</v>
          </cell>
          <cell r="CN7" t="str">
            <v>EFA Grant Allocation Funding Sixth Form Pupils</v>
          </cell>
          <cell r="CO7" t="str">
            <v>EFA Teachers Pay Grant</v>
          </cell>
          <cell r="CP7" t="str">
            <v xml:space="preserve">Total EFA funding   </v>
          </cell>
          <cell r="CQ7" t="str">
            <v>Mobility SEN/EAL Factor</v>
          </cell>
          <cell r="CR7" t="str">
            <v>Access EAL</v>
          </cell>
          <cell r="CS7" t="str">
            <v>EAL Underachieving</v>
          </cell>
          <cell r="CT7" t="str">
            <v>Total AEN Learning needs associated with EAL</v>
          </cell>
          <cell r="CU7" t="str">
            <v>Named Pupil - Teaching Assistant Hours</v>
          </cell>
          <cell r="CV7" t="str">
            <v>Named Pupil - Children Out of Catchment Area Teaching Assistant Hours</v>
          </cell>
          <cell r="CW7" t="str">
            <v>Total Individually assigned resources</v>
          </cell>
          <cell r="CX7" t="str">
            <v>Enhanced Resource Schools</v>
          </cell>
          <cell r="CZ7" t="str">
            <v xml:space="preserve"> Total Funding for designated special classes and units</v>
          </cell>
          <cell r="DC7" t="str">
            <v>Total All other SEN funding</v>
          </cell>
          <cell r="DD7" t="str">
            <v>Social Deprivation</v>
          </cell>
          <cell r="DE7" t="str">
            <v>Index of Multiple Deprivation Funding</v>
          </cell>
          <cell r="DF7" t="str">
            <v>Vulnerable Children</v>
          </cell>
          <cell r="DG7" t="str">
            <v>Non-Statemented KS2 Prior Attainment</v>
          </cell>
          <cell r="DH7" t="str">
            <v>Inclusion</v>
          </cell>
          <cell r="DI7" t="str">
            <v>Total AEN - Including other learning and social needs</v>
          </cell>
          <cell r="DJ7" t="str">
            <v>Insurance</v>
          </cell>
          <cell r="DK7" t="str">
            <v>Rates</v>
          </cell>
          <cell r="DL7" t="str">
            <v>Maintenance - Assessed Need</v>
          </cell>
          <cell r="DM7" t="str">
            <v>Block Base Budget</v>
          </cell>
          <cell r="DN7" t="str">
            <v>Residential Base Budget</v>
          </cell>
          <cell r="DO7" t="str">
            <v>Floor Area - Special Schools</v>
          </cell>
          <cell r="DP7" t="str">
            <v>Pupil Density - Special Schools</v>
          </cell>
          <cell r="DQ7" t="str">
            <v>Total Premises factors - general</v>
          </cell>
          <cell r="DR7" t="str">
            <v>PFI Factor</v>
          </cell>
          <cell r="DS7" t="str">
            <v>PFI BSF Factor</v>
          </cell>
          <cell r="DT7" t="str">
            <v>PFI Utility Factor</v>
          </cell>
          <cell r="DU7" t="str">
            <v>Split Site Budget</v>
          </cell>
          <cell r="DV7" t="str">
            <v>Hydrotherapy Pool</v>
          </cell>
          <cell r="DW7" t="str">
            <v>Nursing - Special Schools</v>
          </cell>
          <cell r="DX7" t="str">
            <v>Total Premises factors - exceptional circumstances</v>
          </cell>
          <cell r="DY7" t="str">
            <v>Mobility - Pupil Turnover</v>
          </cell>
          <cell r="DZ7" t="str">
            <v>Admissions</v>
          </cell>
          <cell r="EA7" t="str">
            <v>Small School Protection</v>
          </cell>
          <cell r="EB7" t="str">
            <v>Total School-specific factors - general</v>
          </cell>
          <cell r="EE7" t="str">
            <v>Total School-specific factors - exceptional circumstances</v>
          </cell>
          <cell r="EH7" t="str">
            <v>Total Historical grants factors</v>
          </cell>
          <cell r="EI7" t="str">
            <v>Transitional provision</v>
          </cell>
          <cell r="EK7" t="str">
            <v>Abatement of Secondary Funding</v>
          </cell>
          <cell r="EL7" t="str">
            <v>Retrospective Adjustments - TA Hours</v>
          </cell>
          <cell r="EM7" t="str">
            <v>Retrospective Adjustments - ERS Places</v>
          </cell>
          <cell r="EO7" t="str">
            <v>Total budget adjustments</v>
          </cell>
          <cell r="EP7" t="str">
            <v xml:space="preserve">
Minimum Funding Guarantee</v>
          </cell>
          <cell r="EQ7" t="str">
            <v>Total Early Years funding</v>
          </cell>
          <cell r="ER7" t="str">
            <v xml:space="preserve">
Total Budget Share</v>
          </cell>
          <cell r="ES7" t="str">
            <v xml:space="preserve">  EFA numbers (Jan 2012)</v>
          </cell>
          <cell r="ET7" t="str">
            <v xml:space="preserve">
Total January 2012 Pupil Count (FTE registered pupils)</v>
          </cell>
          <cell r="EU7" t="str">
            <v xml:space="preserve"> £ per pupil</v>
          </cell>
          <cell r="EV7" t="str">
            <v>If a variation has been applied for any of your schools can you please provide more information in the description cell provided below</v>
          </cell>
          <cell r="EW7" t="str">
            <v>Pupil Premium Allocated to Schools</v>
          </cell>
          <cell r="EX7" t="str">
            <v xml:space="preserve">
Threshold and Performance Pay</v>
          </cell>
          <cell r="EY7" t="str">
            <v xml:space="preserve">
Support for Schools in Financial Difficulty</v>
          </cell>
          <cell r="EZ7" t="str">
            <v xml:space="preserve">
Notional SEN Budget</v>
          </cell>
        </row>
        <row r="8">
          <cell r="B8" t="str">
            <v>All Through Schools and Federated Indicator</v>
          </cell>
          <cell r="C8" t="str">
            <v>School name</v>
          </cell>
          <cell r="D8" t="str">
            <v xml:space="preserve"> DfE number</v>
          </cell>
          <cell r="E8" t="str">
            <v xml:space="preserve">
School Opening / Closing/ Converting</v>
          </cell>
          <cell r="F8" t="str">
            <v xml:space="preserve"> 
Date Opening / Closing</v>
          </cell>
          <cell r="BR8" t="str">
            <v xml:space="preserve">Additional Spend Block </v>
          </cell>
        </row>
        <row r="9">
          <cell r="G9" t="str">
            <v>HOURS</v>
          </cell>
          <cell r="H9" t="str">
            <v>HOURS</v>
          </cell>
          <cell r="I9" t="str">
            <v>HOURS</v>
          </cell>
          <cell r="J9" t="str">
            <v>HOURS</v>
          </cell>
          <cell r="K9" t="str">
            <v>HOURS</v>
          </cell>
          <cell r="L9" t="str">
            <v>£</v>
          </cell>
          <cell r="M9" t="str">
            <v>HOURS</v>
          </cell>
          <cell r="N9" t="str">
            <v>FTE</v>
          </cell>
          <cell r="O9" t="str">
            <v>HOURS</v>
          </cell>
          <cell r="P9" t="str">
            <v>HOURS</v>
          </cell>
          <cell r="Q9" t="str">
            <v>HOURS</v>
          </cell>
          <cell r="R9" t="str">
            <v>HOURS</v>
          </cell>
          <cell r="S9" t="str">
            <v>£</v>
          </cell>
          <cell r="T9" t="str">
            <v>HOURS</v>
          </cell>
          <cell r="U9" t="str">
            <v>PUPILS</v>
          </cell>
          <cell r="V9" t="str">
            <v>PUPILS</v>
          </cell>
          <cell r="W9" t="str">
            <v>PUPILS</v>
          </cell>
          <cell r="X9" t="str">
            <v>PUPILS</v>
          </cell>
          <cell r="Y9" t="str">
            <v>PUPILS</v>
          </cell>
          <cell r="Z9" t="str">
            <v>PUPILS</v>
          </cell>
          <cell r="AA9" t="str">
            <v>PUPILS</v>
          </cell>
          <cell r="AB9" t="str">
            <v>PUPILS</v>
          </cell>
          <cell r="AC9" t="str">
            <v>PUPILS</v>
          </cell>
          <cell r="AD9" t="str">
            <v>PUPILS</v>
          </cell>
          <cell r="AE9" t="str">
            <v>PUPILS</v>
          </cell>
          <cell r="AF9" t="str">
            <v>PUPILS</v>
          </cell>
          <cell r="AG9" t="str">
            <v>PUPILS</v>
          </cell>
          <cell r="AH9" t="str">
            <v>PUPILS</v>
          </cell>
          <cell r="AI9" t="str">
            <v>PUPILS</v>
          </cell>
          <cell r="AJ9" t="str">
            <v>PUPILS</v>
          </cell>
          <cell r="AL9" t="str">
            <v>FTE</v>
          </cell>
          <cell r="AM9" t="str">
            <v>PUPILS</v>
          </cell>
          <cell r="AN9" t="str">
            <v>PUPILS</v>
          </cell>
          <cell r="AO9" t="str">
            <v>PUPILS</v>
          </cell>
          <cell r="AP9" t="str">
            <v>PUPILS</v>
          </cell>
          <cell r="AQ9" t="str">
            <v>PUPILS</v>
          </cell>
          <cell r="AR9" t="str">
            <v>PUPILS</v>
          </cell>
          <cell r="AS9" t="str">
            <v>PUPILS</v>
          </cell>
          <cell r="AT9" t="str">
            <v>PUPILS</v>
          </cell>
          <cell r="AU9" t="str">
            <v>PUPILS</v>
          </cell>
          <cell r="AV9" t="str">
            <v>PUPILS</v>
          </cell>
          <cell r="AW9" t="str">
            <v>PUPILS</v>
          </cell>
          <cell r="AX9" t="str">
            <v>PUPILS</v>
          </cell>
          <cell r="AY9" t="str">
            <v>PUPILS</v>
          </cell>
          <cell r="AZ9" t="str">
            <v>PUPILS</v>
          </cell>
          <cell r="BA9" t="str">
            <v>PUPILS</v>
          </cell>
          <cell r="BB9" t="str">
            <v>PUPILS</v>
          </cell>
          <cell r="BD9" t="str">
            <v>FTE</v>
          </cell>
          <cell r="BE9" t="str">
            <v>PLACES</v>
          </cell>
          <cell r="BF9" t="str">
            <v>PLACES</v>
          </cell>
          <cell r="BG9" t="str">
            <v>PLACES</v>
          </cell>
          <cell r="BH9" t="str">
            <v>PLACES</v>
          </cell>
          <cell r="BI9" t="str">
            <v>PLACES</v>
          </cell>
          <cell r="BJ9" t="str">
            <v>PLACES</v>
          </cell>
          <cell r="BK9" t="str">
            <v>PLACES</v>
          </cell>
          <cell r="BL9" t="str">
            <v>PLACES</v>
          </cell>
          <cell r="BM9" t="str">
            <v>PLACES</v>
          </cell>
          <cell r="BN9" t="str">
            <v>PLACES</v>
          </cell>
          <cell r="BO9" t="str">
            <v>PLACES</v>
          </cell>
          <cell r="BQ9" t="str">
            <v>FTE</v>
          </cell>
          <cell r="BS9" t="str">
            <v>£</v>
          </cell>
          <cell r="BT9" t="str">
            <v>£</v>
          </cell>
          <cell r="BU9" t="str">
            <v>£</v>
          </cell>
          <cell r="BV9" t="str">
            <v>£</v>
          </cell>
          <cell r="BW9" t="str">
            <v>£</v>
          </cell>
          <cell r="BX9" t="str">
            <v>£</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t="str">
            <v>£</v>
          </cell>
          <cell r="DC9" t="str">
            <v>£</v>
          </cell>
          <cell r="DD9" t="str">
            <v>£</v>
          </cell>
          <cell r="DE9" t="str">
            <v>£</v>
          </cell>
          <cell r="DF9" t="str">
            <v>£</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t="str">
            <v>£</v>
          </cell>
          <cell r="EI9" t="str">
            <v>£</v>
          </cell>
          <cell r="EJ9" t="str">
            <v>£</v>
          </cell>
          <cell r="EK9" t="str">
            <v>£</v>
          </cell>
          <cell r="EL9" t="str">
            <v>£</v>
          </cell>
          <cell r="EM9" t="str">
            <v>£</v>
          </cell>
          <cell r="EN9" t="str">
            <v>£</v>
          </cell>
          <cell r="EO9" t="str">
            <v>£</v>
          </cell>
        </row>
        <row r="10">
          <cell r="A10" t="str">
            <v>Column Status</v>
          </cell>
          <cell r="G10" t="str">
            <v>Include</v>
          </cell>
          <cell r="H10" t="str">
            <v>Include</v>
          </cell>
          <cell r="I10" t="str">
            <v>Include</v>
          </cell>
          <cell r="J10" t="str">
            <v>Include</v>
          </cell>
          <cell r="K10" t="str">
            <v>Exclude</v>
          </cell>
          <cell r="L10" t="str">
            <v>Group Total</v>
          </cell>
          <cell r="M10" t="str">
            <v>Group Total</v>
          </cell>
          <cell r="N10" t="str">
            <v>Group Total</v>
          </cell>
          <cell r="O10" t="str">
            <v>Exclude</v>
          </cell>
          <cell r="P10" t="str">
            <v>Exclude</v>
          </cell>
          <cell r="Q10" t="str">
            <v>Exclude</v>
          </cell>
          <cell r="R10" t="str">
            <v>Exclude</v>
          </cell>
          <cell r="S10" t="str">
            <v>Group Total</v>
          </cell>
          <cell r="T10" t="str">
            <v>Group Total</v>
          </cell>
          <cell r="U10" t="str">
            <v>Include</v>
          </cell>
          <cell r="V10" t="str">
            <v>Exclude</v>
          </cell>
          <cell r="W10" t="str">
            <v>Exclude</v>
          </cell>
          <cell r="X10" t="str">
            <v>Exclude</v>
          </cell>
          <cell r="Y10" t="str">
            <v>Include</v>
          </cell>
          <cell r="Z10" t="str">
            <v>Include</v>
          </cell>
          <cell r="AA10" t="str">
            <v>Include</v>
          </cell>
          <cell r="AB10" t="str">
            <v>Include</v>
          </cell>
          <cell r="AC10" t="str">
            <v>Include</v>
          </cell>
          <cell r="AD10" t="str">
            <v>Include</v>
          </cell>
          <cell r="AE10" t="str">
            <v>Exclude</v>
          </cell>
          <cell r="AF10" t="str">
            <v>Exclude</v>
          </cell>
          <cell r="AG10" t="str">
            <v>Exclude</v>
          </cell>
          <cell r="AH10" t="str">
            <v>Exclude</v>
          </cell>
          <cell r="AI10" t="str">
            <v>Exclude</v>
          </cell>
          <cell r="AJ10" t="str">
            <v>Exclude</v>
          </cell>
          <cell r="AK10" t="str">
            <v>Group Total</v>
          </cell>
          <cell r="AL10" t="str">
            <v>Group Total</v>
          </cell>
          <cell r="AM10" t="str">
            <v>Exclude</v>
          </cell>
          <cell r="AN10" t="str">
            <v>Exclude</v>
          </cell>
          <cell r="AO10" t="str">
            <v>Exclude</v>
          </cell>
          <cell r="AP10" t="str">
            <v>Exclude</v>
          </cell>
          <cell r="AQ10" t="str">
            <v>Exclude</v>
          </cell>
          <cell r="AR10" t="str">
            <v>Exclude</v>
          </cell>
          <cell r="AS10" t="str">
            <v>Exclude</v>
          </cell>
          <cell r="AT10" t="str">
            <v>Exclude</v>
          </cell>
          <cell r="AU10" t="str">
            <v>Exclude</v>
          </cell>
          <cell r="AV10" t="str">
            <v>Exclude</v>
          </cell>
          <cell r="AW10" t="str">
            <v>Include</v>
          </cell>
          <cell r="AX10" t="str">
            <v>Include</v>
          </cell>
          <cell r="AY10" t="str">
            <v>Include</v>
          </cell>
          <cell r="AZ10" t="str">
            <v>Include</v>
          </cell>
          <cell r="BA10" t="str">
            <v>Include</v>
          </cell>
          <cell r="BB10" t="str">
            <v>Include</v>
          </cell>
          <cell r="BC10" t="str">
            <v>Group Total</v>
          </cell>
          <cell r="BD10" t="str">
            <v>Group Total</v>
          </cell>
          <cell r="BE10" t="str">
            <v>Include</v>
          </cell>
          <cell r="BF10" t="str">
            <v>Include</v>
          </cell>
          <cell r="BG10" t="str">
            <v>Include</v>
          </cell>
          <cell r="BH10" t="str">
            <v>Include</v>
          </cell>
          <cell r="BI10" t="str">
            <v>Include</v>
          </cell>
          <cell r="BJ10" t="str">
            <v>Include</v>
          </cell>
          <cell r="BK10" t="str">
            <v>Include</v>
          </cell>
          <cell r="BL10" t="str">
            <v>Include</v>
          </cell>
          <cell r="BM10" t="str">
            <v>Include</v>
          </cell>
          <cell r="BN10" t="str">
            <v>Include</v>
          </cell>
          <cell r="BO10" t="str">
            <v>Include</v>
          </cell>
          <cell r="BP10" t="str">
            <v>Group Total</v>
          </cell>
          <cell r="BQ10" t="str">
            <v>Group Total</v>
          </cell>
          <cell r="BR10" t="str">
            <v>group total</v>
          </cell>
          <cell r="BS10" t="str">
            <v>Include</v>
          </cell>
          <cell r="BT10" t="str">
            <v>Include</v>
          </cell>
          <cell r="BU10" t="str">
            <v>Include</v>
          </cell>
          <cell r="BV10" t="str">
            <v>Include</v>
          </cell>
          <cell r="BW10" t="str">
            <v>Include</v>
          </cell>
          <cell r="BX10" t="str">
            <v>Include</v>
          </cell>
          <cell r="BY10" t="str">
            <v>Include</v>
          </cell>
          <cell r="BZ10" t="str">
            <v>Include</v>
          </cell>
          <cell r="CA10" t="str">
            <v>Include</v>
          </cell>
          <cell r="CB10" t="str">
            <v>Include</v>
          </cell>
          <cell r="CC10" t="str">
            <v>Include</v>
          </cell>
          <cell r="CD10" t="str">
            <v>Include</v>
          </cell>
          <cell r="CE10" t="str">
            <v>Group Total</v>
          </cell>
          <cell r="CF10" t="str">
            <v>Include</v>
          </cell>
          <cell r="CG10" t="str">
            <v>Exclude</v>
          </cell>
          <cell r="CH10" t="str">
            <v>Exclude</v>
          </cell>
          <cell r="CI10" t="str">
            <v>Include</v>
          </cell>
          <cell r="CJ10" t="str">
            <v>Include</v>
          </cell>
          <cell r="CK10" t="str">
            <v>Include</v>
          </cell>
          <cell r="CL10" t="str">
            <v>Include</v>
          </cell>
          <cell r="CM10" t="str">
            <v>Group Total</v>
          </cell>
          <cell r="CN10" t="str">
            <v>Include</v>
          </cell>
          <cell r="CO10" t="str">
            <v>Include</v>
          </cell>
          <cell r="CP10" t="str">
            <v>Group Total</v>
          </cell>
          <cell r="CQ10" t="str">
            <v>Include</v>
          </cell>
          <cell r="CR10" t="str">
            <v>Include</v>
          </cell>
          <cell r="CS10" t="str">
            <v>Include</v>
          </cell>
          <cell r="CT10" t="str">
            <v>Group Total</v>
          </cell>
          <cell r="CU10" t="str">
            <v>Include</v>
          </cell>
          <cell r="CV10" t="str">
            <v>Include</v>
          </cell>
          <cell r="CW10" t="str">
            <v>Group Total</v>
          </cell>
          <cell r="CX10" t="str">
            <v>Include</v>
          </cell>
          <cell r="CY10" t="str">
            <v>Exclude</v>
          </cell>
          <cell r="CZ10" t="str">
            <v>Group Total</v>
          </cell>
          <cell r="DA10" t="str">
            <v>Exclude</v>
          </cell>
          <cell r="DB10" t="str">
            <v>Exclude</v>
          </cell>
          <cell r="DC10" t="str">
            <v>Group Total</v>
          </cell>
          <cell r="DD10" t="str">
            <v>Include</v>
          </cell>
          <cell r="DE10" t="str">
            <v>Include</v>
          </cell>
          <cell r="DF10" t="str">
            <v>Include</v>
          </cell>
          <cell r="DG10" t="str">
            <v>Include</v>
          </cell>
          <cell r="DH10" t="str">
            <v>Include</v>
          </cell>
          <cell r="DI10" t="str">
            <v>Group Total</v>
          </cell>
          <cell r="DJ10" t="str">
            <v>Include</v>
          </cell>
          <cell r="DK10" t="str">
            <v>Include</v>
          </cell>
          <cell r="DL10" t="str">
            <v>Include</v>
          </cell>
          <cell r="DM10" t="str">
            <v>Include</v>
          </cell>
          <cell r="DN10" t="str">
            <v>Include</v>
          </cell>
          <cell r="DO10" t="str">
            <v>Include</v>
          </cell>
          <cell r="DP10" t="str">
            <v>Include</v>
          </cell>
          <cell r="DQ10" t="str">
            <v>Group Total</v>
          </cell>
          <cell r="DR10" t="str">
            <v>Include</v>
          </cell>
          <cell r="DS10" t="str">
            <v>Include</v>
          </cell>
          <cell r="DT10" t="str">
            <v>Include</v>
          </cell>
          <cell r="DU10" t="str">
            <v>Include</v>
          </cell>
          <cell r="DV10" t="str">
            <v>Include</v>
          </cell>
          <cell r="DW10" t="str">
            <v>Include</v>
          </cell>
          <cell r="DX10" t="str">
            <v>Group Total</v>
          </cell>
          <cell r="DY10" t="str">
            <v>Include</v>
          </cell>
          <cell r="DZ10" t="str">
            <v>Include</v>
          </cell>
          <cell r="EA10" t="str">
            <v>Include</v>
          </cell>
          <cell r="EB10" t="str">
            <v>Group Total</v>
          </cell>
          <cell r="EC10" t="str">
            <v>Exclude</v>
          </cell>
          <cell r="ED10" t="str">
            <v>Exclude</v>
          </cell>
          <cell r="EE10" t="str">
            <v>Group Total</v>
          </cell>
          <cell r="EF10" t="str">
            <v>Exclude</v>
          </cell>
          <cell r="EG10" t="str">
            <v>Exclude</v>
          </cell>
          <cell r="EH10" t="str">
            <v>Group Total</v>
          </cell>
          <cell r="EI10" t="str">
            <v>Include</v>
          </cell>
          <cell r="EJ10" t="str">
            <v>Exclude</v>
          </cell>
          <cell r="EK10" t="str">
            <v>Include</v>
          </cell>
          <cell r="EL10" t="str">
            <v>Include</v>
          </cell>
          <cell r="EM10" t="str">
            <v>Include</v>
          </cell>
          <cell r="EN10" t="str">
            <v>Exclude</v>
          </cell>
          <cell r="EO10" t="str">
            <v>Group Total</v>
          </cell>
        </row>
        <row r="11">
          <cell r="A11" t="str">
            <v>Methodology</v>
          </cell>
          <cell r="G11" t="str">
            <v>Maintained Nursery rate per hour obtained from costing exercise. Includes elements of buildings, and now elements of mainstreamed grants</v>
          </cell>
          <cell r="H11" t="str">
            <v>School based Nursery rate per hour obtained from costing exercise. Includes elements of buildings, and now elements of mainstreamed grants</v>
          </cell>
          <cell r="I11" t="str">
            <v xml:space="preserve">PVI Pre School average cost per hour from costing exercise </v>
          </cell>
          <cell r="J11" t="str">
            <v xml:space="preserve">PVI Day Nursery average cost per hour from costing exercise </v>
          </cell>
          <cell r="U11" t="str">
            <v>Pupils based on Jan 2012 Census by AWPU multiplier. This multiplier now includes an element of historical grants, as agreed after consultation with Schools Forum.</v>
          </cell>
          <cell r="Y11" t="str">
            <v>Pupils based on Jan 2012 Census by AWPU multiplier. This multiplier now includes an element of historical grants, as agreed after consultation with Schools Forum.</v>
          </cell>
          <cell r="Z11" t="str">
            <v>Pupils based on Jan 2012 Census by AWPU multiplier. This multiplier now includes an element of historical grants, as agreed after consultation with Schools Forum.</v>
          </cell>
          <cell r="AA11" t="str">
            <v>Pupils based on Jan 2012 Census by AWPU multiplier. This multiplier now includes an element of historical grants, as agreed after consultation with Schools Forum.</v>
          </cell>
          <cell r="AB11" t="str">
            <v>Pupils based on Jan 2012 Census by AWPU multiplier. This multiplier now includes an element of historical grants, as agreed after consultation with Schools Forum.</v>
          </cell>
          <cell r="AC11" t="str">
            <v>Pupils based on Jan 2012 Census by AWPU multiplier. This multiplier now includes an element of historical grants, as agreed after consultation with Schools Forum.</v>
          </cell>
          <cell r="AD11" t="str">
            <v>Pupils based on Jan 2012 Census by AWPU multiplier. This multiplier now includes an element of historical grants, as agreed after consultation with Schools Forum.</v>
          </cell>
          <cell r="AW11" t="str">
            <v>Pupils based on Jan 2012 Census by AWPU multiplier. This multiplier now includes an element of historical grants, as agreed after consultation with Schools Forum.</v>
          </cell>
          <cell r="AX11" t="str">
            <v>Pupils based on Jan 2012 Census by AWPU multiplier. This multiplier now includes an element of historical grants, as agreed after consultation with Schools Forum.</v>
          </cell>
          <cell r="AY11" t="str">
            <v>Pupils based on Jan 2012 Census by AWPU multiplier. This multiplier now includes an element of historical grants, as agreed after consultation with Schools Forum.</v>
          </cell>
          <cell r="AZ11" t="str">
            <v>Pupils based on Jan 2012 Census by AWPU multiplier. This multiplier now includes an element of historical grants, as agreed after consultation with Schools Forum.</v>
          </cell>
          <cell r="BA11" t="str">
            <v>Pupils based on Jan 2012 Census by AWPU multiplier. This multiplier now includes an element of historical grants, as agreed after consultation with Schools Forum.</v>
          </cell>
          <cell r="BB11" t="str">
            <v>Pupils based on Jan 2012 Census by AWPU multiplier. This multiplier now includes an element of historical grants, as agreed after consultation with Schools Forum.</v>
          </cell>
          <cell r="BE11" t="str">
            <v>An amount for each special needs place purchased by the LA</v>
          </cell>
          <cell r="BF11" t="str">
            <v>An amount for each special needs place purchased by the LA</v>
          </cell>
          <cell r="BG11" t="str">
            <v>An amount for each special needs place purchased by the LA</v>
          </cell>
          <cell r="BH11" t="str">
            <v>An amount for each special needs place purchased by the LA</v>
          </cell>
          <cell r="BI11" t="str">
            <v>An amount for each special needs place purchased by the LA</v>
          </cell>
          <cell r="BJ11" t="str">
            <v>An amount for each special needs place purchased by the LA</v>
          </cell>
          <cell r="BK11" t="str">
            <v>An amount for each special needs place purchased by the LA</v>
          </cell>
          <cell r="BL11" t="str">
            <v>An amount for each special needs place purchased by the LA</v>
          </cell>
          <cell r="BM11" t="str">
            <v>An amount for each special needs place purchased by the LA</v>
          </cell>
          <cell r="BN11" t="str">
            <v>An amount for each special needs place purchased by the LA</v>
          </cell>
          <cell r="BO11" t="str">
            <v>An amount for each special needs place purchased by the LA</v>
          </cell>
          <cell r="BR11" t="str">
            <v>Methodology</v>
          </cell>
          <cell r="BS11" t="str">
            <v xml:space="preserve">Hours of children in the IMD 40% most deprived areas, with a triple weighting for those in the top 20% deprived areas. </v>
          </cell>
          <cell r="BT11" t="str">
            <v>Base allocation for maintained Nursery Schools. This was calculated to allocate some of the historical grants to Nurseries following a consultation process and School Forum approval.</v>
          </cell>
          <cell r="BU11" t="str">
            <v>The number of underachieving pupils at January 2012 Census with English as an additional language by an hourly multiplier from EYSFF costing exercise.</v>
          </cell>
          <cell r="BV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BW11" t="str">
            <v>Actual rates charge for 2012-13</v>
          </cell>
          <cell r="BX11" t="str">
            <v>Early Years Budget Adjustment to 2011-12 payments for Nurseries and Maintained Schools Nurseries</v>
          </cell>
          <cell r="BY11" t="str">
            <v>Teaching support - the number of pupils with statements, the  weighted average of 5/12 of the figure as at January 2012 and 7/12 of the estimate for January 2013.</v>
          </cell>
          <cell r="BZ11" t="str">
            <v>Number of children (in hours) known to Social Services by multiplier derived form EYSFF costing exercise</v>
          </cell>
          <cell r="CA11" t="str">
            <v>Ceiling of 3% Increase on prior year budget</v>
          </cell>
          <cell r="CB11" t="str">
            <v>Enhanced resource schools are funded according to the places purchased by the local authority at each school. There is a different tariff for each type of special need.</v>
          </cell>
          <cell r="CC11" t="str">
            <v>Early years Specific Minimum Funding Guarantee. To ensure that all Early Years Funding is captured in Early Years.</v>
          </cell>
          <cell r="CD11" t="str">
            <v>Provision at 50% to protect schools for deletion of AST funding as agreed with Schools Forum. This protection is for 2012-13 only.</v>
          </cell>
          <cell r="CF11" t="str">
            <v>An allocation is made to primary schools based on the school's standard number (SN). An SN up to 30 counts as one unit, 31-60 counts as 2 units, etc.</v>
          </cell>
          <cell r="CI11" t="str">
            <v>Multiplier by number of pupils per school taking free meals</v>
          </cell>
          <cell r="CJ11" t="str">
            <v>Multiplier by number of pupils for each school that has insurance function devolved</v>
          </cell>
          <cell r="CK11" t="str">
            <v>Multiplier by number of pupils in each school</v>
          </cell>
          <cell r="CL11" t="str">
            <v>Multiplier by number of pupils per school taking paid meals</v>
          </cell>
          <cell r="CN11" t="str">
            <v>Funding levels are allocated by the EFA. The allocation includes the main funding for the 2012-13 financial year.</v>
          </cell>
          <cell r="CO11" t="str">
            <v>Teachers Pay grant EFA funded - an amount per sixth form teacher entitled to performance pay</v>
          </cell>
          <cell r="CQ11" t="str">
            <v>Mobility SEN/EAL: 20% of previous years' growth is allocated though the number of pupils in the latest school census who arrived at the school in the past year and have English as an additional language or special educational needs.</v>
          </cell>
          <cell r="CR11" t="str">
            <v>The number of pupils at January 2012 Census with English as an additional language</v>
          </cell>
          <cell r="CS11" t="str">
            <v>The number of underachieving pupils at January 2012 Census with English as an additional language</v>
          </cell>
          <cell r="CU11" t="str">
            <v>Teaching support - the number of pupils with statements, the  weighted average of 5/12 of the figure as at January 2010 and 7/12 of the estimate for January 2011. The funding is only given for pupils with statements of more than 15 hours of support per week and it only funds the hours of support above the first 15 hours per pupil.</v>
          </cell>
          <cell r="CV11" t="str">
            <v>Teaching support out of the catchment area - the number of pupils with statements who live outside the school's normal catchment area.</v>
          </cell>
          <cell r="CX11" t="str">
            <v>Enhanced resource schools are funded according to the places purchased by the local authority at each school. There is a different tariff for each type of special need.</v>
          </cell>
          <cell r="DD11" t="str">
            <v>Social deprivation -calculated by taking the percentage of pupils entitled to free school meals and multiplying it by the Net Pupil Numbers</v>
          </cell>
          <cell r="DE11" t="str">
            <v>IMD: 80% of previous growth is allocated through the number of pupils in the IMD 40% most deprived areas, with a triple weighting for those in the 20% most deprived areas. This year an additional amount of funding has been allocated through this factor from the historical grants. This was calculated after consultation with Schools Forum.</v>
          </cell>
          <cell r="DF11" t="str">
            <v>Vulnerable children - numbers of children known to Social Services</v>
          </cell>
          <cell r="DG11" t="str">
            <v>KS2 prior attainment - allocations based on the number of pupils achieving below level 4 at KS2, with a double weighting for those achieving below level 3</v>
          </cell>
          <cell r="DH11" t="str">
            <v>Inclusion - funding calculated using a mixture of a base allocation for each secondary school and a weighted combination of total pupil turnover as at January Census, pupils with free meal funding and the pupil turnover numbers .</v>
          </cell>
          <cell r="DJ11" t="str">
            <v>Premises insurance - unit value multiplied by the reinstatement value of the building (expressed in £100,000s) where schools have requested delegation</v>
          </cell>
          <cell r="DK11" t="str">
            <v>Actual Charge for 2012-13</v>
          </cell>
          <cell r="DL11" t="str">
            <v>Maintenance (Assessed Need) - floor area multiplied by condition factor,  where 1 is best condition and 5 is worst</v>
          </cell>
          <cell r="DM11" t="str">
            <v>Base - Lump sum allocation. Includes premium for small schools of £4,649 for Primary Schools with less than 200 pupils. Includes elements of historical grants following consultation with Schools Forum. Bases vary slightly for Special Schools due to individual requirements.</v>
          </cell>
          <cell r="DN11" t="str">
            <v>Base - lump sum allocation for residential schools</v>
          </cell>
          <cell r="DO11" t="str">
            <v>Floor area - total area of the building in square metres. There is a weighting of 1.5 for residential special needs</v>
          </cell>
          <cell r="DP11" t="str">
            <v>Maintenance (Pupil density) - unit value multiplied by pupil numbers, divided by floor area and multiplied again by pupil numbers</v>
          </cell>
          <cell r="DR11" t="str">
            <v>PFI - actual cost of the addition to the main unitary charge</v>
          </cell>
          <cell r="DS11" t="str">
            <v>PFI - actual cost of the addition to the main unitary charge BSF related</v>
          </cell>
          <cell r="DT11" t="str">
            <v>PFI Utility Factor - compensation for increased utility bills in PFI schools</v>
          </cell>
          <cell r="DU11" t="str">
            <v>Split site - lump sum allocation for schools with buildings on more than one site. Split site index - number of year groups on the minor site multiplied by total pupil numbers. Split site base - lump sum allocation for schools with buildings on more than one site separated by a public highway and which need to maintain teaching or midday cover on more than one site. Split site other - lump sum for other schools which have a distance of at least 100m between the nearest buildings on each site, a distance of at least 250m between the principal entrance of each building by the most direct walking route and have at least 25% of the pupil population taught on the minor site</v>
          </cell>
          <cell r="DV11" t="str">
            <v>Budget for Hydrotherapy Pool at Special school</v>
          </cell>
          <cell r="DW11" t="str">
            <v>Nursing  - banded allocations, the amount for each school depends on the pupil profile in each school</v>
          </cell>
          <cell r="DY11" t="str">
            <v>Additional pupils arriving at school in addition to normal intake for school attract funding for the process.</v>
          </cell>
          <cell r="DZ11" t="str">
            <v>Admissions - total pupil numbers (aided and cheque book schools only)</v>
          </cell>
          <cell r="EA11" t="str">
            <v>Small schools curriculum - secondary funding for schools with less than 750 pupils and primaries with less than 160 pupils. The actual pupil numbers are subtracted from 750/160 and the resulting number is multiplied by the unit value.</v>
          </cell>
          <cell r="EI11" t="str">
            <v>Provision at 50% to protect schools for deletion of AST funding as agreed with Schools Forum. This protection is for 2012-13 only.</v>
          </cell>
          <cell r="EK11" t="str">
            <v xml:space="preserve">The percentage of the total number of pupils in the Sixth Form is applied to the total of all formula factors, excluding age weighted funding and LSC allocations. Where a school has an enhanced resource unit, the deduction from the funding for these places will reflect the number of pupils in that unit who are over 16, expressed as a proportion of the total number of places. </v>
          </cell>
          <cell r="EL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EM11" t="str">
            <v>Adjustment to 2011-12 Forecast for ERS places compared to actual places.</v>
          </cell>
        </row>
        <row r="12">
          <cell r="BR12" t="str">
            <v>Deprivation</v>
          </cell>
          <cell r="BS12">
            <v>1</v>
          </cell>
          <cell r="BT12">
            <v>0</v>
          </cell>
          <cell r="BU12">
            <v>0</v>
          </cell>
          <cell r="BV12">
            <v>0</v>
          </cell>
          <cell r="BW12">
            <v>0</v>
          </cell>
          <cell r="BX12">
            <v>0</v>
          </cell>
          <cell r="BY12">
            <v>0.27</v>
          </cell>
          <cell r="BZ12">
            <v>1</v>
          </cell>
          <cell r="CA12">
            <v>0</v>
          </cell>
          <cell r="CB12">
            <v>0</v>
          </cell>
          <cell r="CC12">
            <v>0</v>
          </cell>
          <cell r="CD12">
            <v>0</v>
          </cell>
          <cell r="CF12">
            <v>0</v>
          </cell>
          <cell r="CI12">
            <v>0</v>
          </cell>
          <cell r="CJ12">
            <v>0</v>
          </cell>
          <cell r="CK12">
            <v>0</v>
          </cell>
          <cell r="CL12">
            <v>0</v>
          </cell>
          <cell r="CN12">
            <v>0</v>
          </cell>
          <cell r="CO12">
            <v>0</v>
          </cell>
          <cell r="CQ12">
            <v>1</v>
          </cell>
          <cell r="CR12">
            <v>1</v>
          </cell>
          <cell r="CS12">
            <v>0</v>
          </cell>
          <cell r="CU12">
            <v>0.27</v>
          </cell>
          <cell r="CV12">
            <v>0.27</v>
          </cell>
          <cell r="CX12">
            <v>0</v>
          </cell>
          <cell r="DD12">
            <v>1</v>
          </cell>
          <cell r="DE12">
            <v>1</v>
          </cell>
          <cell r="DF12">
            <v>1</v>
          </cell>
          <cell r="DG12">
            <v>0.75</v>
          </cell>
          <cell r="DH12">
            <v>1</v>
          </cell>
          <cell r="DJ12">
            <v>0</v>
          </cell>
          <cell r="DK12">
            <v>0</v>
          </cell>
          <cell r="DL12">
            <v>0</v>
          </cell>
          <cell r="DM12">
            <v>0</v>
          </cell>
          <cell r="DN12">
            <v>0</v>
          </cell>
          <cell r="DO12">
            <v>0</v>
          </cell>
          <cell r="DP12">
            <v>0</v>
          </cell>
          <cell r="DR12">
            <v>0</v>
          </cell>
          <cell r="DS12">
            <v>0</v>
          </cell>
          <cell r="DT12">
            <v>0</v>
          </cell>
          <cell r="DU12">
            <v>0</v>
          </cell>
          <cell r="DV12">
            <v>0</v>
          </cell>
          <cell r="DW12">
            <v>0</v>
          </cell>
          <cell r="DY12">
            <v>0</v>
          </cell>
          <cell r="DZ12">
            <v>0</v>
          </cell>
          <cell r="EA12">
            <v>0</v>
          </cell>
          <cell r="EI12">
            <v>0</v>
          </cell>
          <cell r="EK12">
            <v>0</v>
          </cell>
          <cell r="EL12">
            <v>0</v>
          </cell>
          <cell r="EM12">
            <v>0</v>
          </cell>
        </row>
        <row r="14">
          <cell r="A14" t="str">
            <v>Unit Value</v>
          </cell>
          <cell r="G14">
            <v>6.0990005421484437</v>
          </cell>
          <cell r="H14">
            <v>3.496431241446202</v>
          </cell>
          <cell r="I14">
            <v>3.0528145657894745</v>
          </cell>
          <cell r="J14">
            <v>3.5625093391139</v>
          </cell>
          <cell r="U14">
            <v>2906.7795787694736</v>
          </cell>
          <cell r="Y14">
            <v>2450.3294975227932</v>
          </cell>
          <cell r="Z14">
            <v>2450.3294975227932</v>
          </cell>
          <cell r="AA14">
            <v>2569.3031288080288</v>
          </cell>
          <cell r="AB14">
            <v>2569.3031288080288</v>
          </cell>
          <cell r="AC14">
            <v>2569.3031288080288</v>
          </cell>
          <cell r="AD14">
            <v>2569.3031288080288</v>
          </cell>
          <cell r="AW14">
            <v>3326.3930074312998</v>
          </cell>
          <cell r="AX14">
            <v>3326.3930074312998</v>
          </cell>
          <cell r="AY14">
            <v>3326.3930074312998</v>
          </cell>
          <cell r="AZ14">
            <v>3789.6558982946494</v>
          </cell>
          <cell r="BA14">
            <v>3789.6558982946494</v>
          </cell>
          <cell r="BB14">
            <v>3789.6558982946494</v>
          </cell>
          <cell r="BE14">
            <v>7856.1976204856383</v>
          </cell>
          <cell r="BF14">
            <v>11968.689829424153</v>
          </cell>
          <cell r="BG14">
            <v>11906.359666484763</v>
          </cell>
          <cell r="BH14">
            <v>13256.846530171551</v>
          </cell>
          <cell r="BI14">
            <v>13072.453131475855</v>
          </cell>
          <cell r="BJ14">
            <v>12889.358277841397</v>
          </cell>
          <cell r="BK14">
            <v>17244.756325934959</v>
          </cell>
          <cell r="BL14">
            <v>17122.01784674681</v>
          </cell>
          <cell r="BM14">
            <v>18904.219001492551</v>
          </cell>
          <cell r="BN14">
            <v>6014.8607236511534</v>
          </cell>
          <cell r="BO14">
            <v>18488.684581896614</v>
          </cell>
        </row>
        <row r="16">
          <cell r="A16" t="str">
            <v>Additional Spend Unit Values Early Years</v>
          </cell>
          <cell r="BR16" t="str">
            <v>Additional Spend Unit Values Early Years</v>
          </cell>
          <cell r="BS16">
            <v>0.2036</v>
          </cell>
          <cell r="BT16">
            <v>47500</v>
          </cell>
          <cell r="BU16">
            <v>0.2036</v>
          </cell>
          <cell r="BV16">
            <v>1E-3</v>
          </cell>
          <cell r="BW16">
            <v>1.0000000000000001E-5</v>
          </cell>
          <cell r="BX16">
            <v>1E-4</v>
          </cell>
          <cell r="BY16">
            <v>1E-3</v>
          </cell>
          <cell r="BZ16">
            <v>1.7611399999999999</v>
          </cell>
          <cell r="CA16">
            <v>1E-3</v>
          </cell>
          <cell r="CB16">
            <v>1E-3</v>
          </cell>
          <cell r="CC16">
            <v>1E-3</v>
          </cell>
          <cell r="CD16">
            <v>1E-3</v>
          </cell>
        </row>
        <row r="17">
          <cell r="A17" t="str">
            <v>Additional Spend Unit Values Primary</v>
          </cell>
          <cell r="BR17" t="str">
            <v>Additional Spend Unit Values Primary</v>
          </cell>
          <cell r="CF17">
            <v>11340.305565018814</v>
          </cell>
          <cell r="CJ17">
            <v>17.304430933686298</v>
          </cell>
          <cell r="CK17">
            <v>20.29699924132888</v>
          </cell>
          <cell r="CL17">
            <v>38.475058218147801</v>
          </cell>
          <cell r="CQ17">
            <v>1.0000000000000001E-5</v>
          </cell>
          <cell r="CR17">
            <v>200.97142192711499</v>
          </cell>
          <cell r="CS17">
            <v>202.08526015125898</v>
          </cell>
          <cell r="CU17">
            <v>600.64775020415561</v>
          </cell>
          <cell r="CV17">
            <v>600.64775020415561</v>
          </cell>
          <cell r="CX17">
            <v>1E-3</v>
          </cell>
          <cell r="DD17">
            <v>1474.7154134107291</v>
          </cell>
          <cell r="DE17">
            <v>1E-3</v>
          </cell>
          <cell r="DF17">
            <v>856.11742475261747</v>
          </cell>
          <cell r="DJ17">
            <v>190.94503354876039</v>
          </cell>
          <cell r="DK17">
            <v>1E-3</v>
          </cell>
          <cell r="DL17">
            <v>1.4313420310162734</v>
          </cell>
          <cell r="DM17">
            <v>70073</v>
          </cell>
          <cell r="DR17">
            <v>1E-3</v>
          </cell>
          <cell r="DS17">
            <v>1E-3</v>
          </cell>
          <cell r="DT17">
            <v>1E-3</v>
          </cell>
          <cell r="DY17">
            <v>326.7839442401052</v>
          </cell>
          <cell r="DZ17">
            <v>3.4536126504642066</v>
          </cell>
          <cell r="EA17">
            <v>282.35603008131017</v>
          </cell>
          <cell r="EI17">
            <v>1E-3</v>
          </cell>
          <cell r="EL17">
            <v>1E-3</v>
          </cell>
          <cell r="EM17">
            <v>1E-3</v>
          </cell>
        </row>
        <row r="18">
          <cell r="A18" t="str">
            <v>Additional Spend Unit Values Secondary</v>
          </cell>
          <cell r="BR18" t="str">
            <v>Additional Spend Unit Values Secondary</v>
          </cell>
          <cell r="CJ18">
            <v>17.304430933686298</v>
          </cell>
          <cell r="CK18">
            <v>30.92201278725328</v>
          </cell>
          <cell r="CL18">
            <v>38.475058218147801</v>
          </cell>
          <cell r="CN18">
            <v>1E-3</v>
          </cell>
          <cell r="CO18">
            <v>1E-3</v>
          </cell>
          <cell r="CQ18">
            <v>1E-3</v>
          </cell>
          <cell r="CR18">
            <v>205.98797312478598</v>
          </cell>
          <cell r="CS18">
            <v>202.65829189359198</v>
          </cell>
          <cell r="CU18">
            <v>582.64924143295434</v>
          </cell>
          <cell r="CX18">
            <v>1E-3</v>
          </cell>
          <cell r="DD18">
            <v>1280.2255130501539</v>
          </cell>
          <cell r="DE18">
            <v>1E-3</v>
          </cell>
          <cell r="DF18">
            <v>1657.4868066924982</v>
          </cell>
          <cell r="DG18">
            <v>874.23602830713594</v>
          </cell>
          <cell r="DH18">
            <v>1E-3</v>
          </cell>
          <cell r="DJ18">
            <v>190.94503354876039</v>
          </cell>
          <cell r="DK18">
            <v>0.01</v>
          </cell>
          <cell r="DL18">
            <v>1.3812002145126985</v>
          </cell>
          <cell r="DM18">
            <v>349775</v>
          </cell>
          <cell r="DR18">
            <v>1E-3</v>
          </cell>
          <cell r="DS18">
            <v>1E-3</v>
          </cell>
          <cell r="DT18">
            <v>1E-3</v>
          </cell>
          <cell r="DU18">
            <v>19329.921551105632</v>
          </cell>
          <cell r="DY18">
            <v>1303.1030892469601</v>
          </cell>
          <cell r="DZ18">
            <v>5.2319654331659242</v>
          </cell>
          <cell r="EA18">
            <v>384.83242785983924</v>
          </cell>
          <cell r="EI18">
            <v>1E-3</v>
          </cell>
          <cell r="EK18">
            <v>1E-3</v>
          </cell>
          <cell r="EL18">
            <v>1E-3</v>
          </cell>
          <cell r="EM18">
            <v>1E-3</v>
          </cell>
        </row>
        <row r="19">
          <cell r="A19" t="str">
            <v>Additional Spend Unit Values Special</v>
          </cell>
          <cell r="BR19" t="str">
            <v>Additional Spend Unit Values Special</v>
          </cell>
          <cell r="CI19">
            <v>664.76</v>
          </cell>
          <cell r="CL19">
            <v>38.1545422637979</v>
          </cell>
          <cell r="DL19">
            <v>150.85167049027518</v>
          </cell>
          <cell r="DM19">
            <v>1E-3</v>
          </cell>
          <cell r="DN19">
            <v>144621.54837177516</v>
          </cell>
          <cell r="DO19">
            <v>42.425727805104955</v>
          </cell>
          <cell r="DP19">
            <v>189.53701857300527</v>
          </cell>
          <cell r="DR19">
            <v>1E-3</v>
          </cell>
          <cell r="DS19">
            <v>1E-3</v>
          </cell>
          <cell r="DT19">
            <v>1E-3</v>
          </cell>
          <cell r="DV19">
            <v>143000</v>
          </cell>
          <cell r="DW19">
            <v>1E-3</v>
          </cell>
          <cell r="EI19">
            <v>1E-3</v>
          </cell>
          <cell r="EK19">
            <v>1E-3</v>
          </cell>
          <cell r="EL19">
            <v>1E-3</v>
          </cell>
          <cell r="EM19">
            <v>1E-3</v>
          </cell>
        </row>
        <row r="20">
          <cell r="BR20">
            <v>0</v>
          </cell>
        </row>
        <row r="21">
          <cell r="A21" t="str">
            <v>Nursery Schools</v>
          </cell>
        </row>
        <row r="22">
          <cell r="C22" t="str">
            <v>Lord Street Nursery School</v>
          </cell>
          <cell r="D22">
            <v>1005</v>
          </cell>
          <cell r="F22" t="str">
            <v/>
          </cell>
          <cell r="G22">
            <v>53010</v>
          </cell>
          <cell r="H22">
            <v>0</v>
          </cell>
          <cell r="I22">
            <v>0</v>
          </cell>
          <cell r="J22">
            <v>0</v>
          </cell>
          <cell r="L22">
            <v>323308.01873928902</v>
          </cell>
          <cell r="M22">
            <v>53010</v>
          </cell>
          <cell r="N22">
            <v>55.8</v>
          </cell>
          <cell r="S22">
            <v>0</v>
          </cell>
          <cell r="T22">
            <v>0</v>
          </cell>
          <cell r="BS22">
            <v>33074.82</v>
          </cell>
          <cell r="BT22">
            <v>47500</v>
          </cell>
          <cell r="BU22">
            <v>1740.78</v>
          </cell>
          <cell r="BV22">
            <v>0</v>
          </cell>
          <cell r="BW22">
            <v>7959.48</v>
          </cell>
          <cell r="BX22">
            <v>3753.5553359434125</v>
          </cell>
          <cell r="BY22">
            <v>0</v>
          </cell>
          <cell r="BZ22">
            <v>7026.9486000000006</v>
          </cell>
          <cell r="CA22">
            <v>0</v>
          </cell>
          <cell r="CB22">
            <v>84309.717893589856</v>
          </cell>
          <cell r="CC22">
            <v>0</v>
          </cell>
          <cell r="CD22">
            <v>0</v>
          </cell>
          <cell r="CE22">
            <v>185365.30182953327</v>
          </cell>
          <cell r="EP22">
            <v>0</v>
          </cell>
          <cell r="EQ22">
            <v>508673.32056882232</v>
          </cell>
          <cell r="ER22">
            <v>508673.32056882232</v>
          </cell>
          <cell r="ET22">
            <v>55.8</v>
          </cell>
          <cell r="EU22">
            <v>9116.009329190365</v>
          </cell>
          <cell r="EV22" t="str">
            <v>No Variation Applied</v>
          </cell>
          <cell r="EX22">
            <v>0</v>
          </cell>
          <cell r="EY22">
            <v>0</v>
          </cell>
          <cell r="EZ22">
            <v>93077.446493589858</v>
          </cell>
        </row>
        <row r="23">
          <cell r="C23" t="str">
            <v>Central Community Nursery School</v>
          </cell>
          <cell r="D23">
            <v>1006</v>
          </cell>
          <cell r="F23" t="str">
            <v/>
          </cell>
          <cell r="G23">
            <v>37524</v>
          </cell>
          <cell r="H23">
            <v>0</v>
          </cell>
          <cell r="I23">
            <v>0</v>
          </cell>
          <cell r="J23">
            <v>0</v>
          </cell>
          <cell r="L23">
            <v>228858.89634357821</v>
          </cell>
          <cell r="M23">
            <v>37524</v>
          </cell>
          <cell r="N23">
            <v>39.498947368421049</v>
          </cell>
          <cell r="S23">
            <v>0</v>
          </cell>
          <cell r="T23">
            <v>0</v>
          </cell>
          <cell r="BS23">
            <v>12371.1432</v>
          </cell>
          <cell r="BT23">
            <v>47500</v>
          </cell>
          <cell r="BU23">
            <v>1508.6759999999999</v>
          </cell>
          <cell r="BV23">
            <v>1502</v>
          </cell>
          <cell r="BW23">
            <v>4379.08</v>
          </cell>
          <cell r="BX23">
            <v>39495.21009628725</v>
          </cell>
          <cell r="BY23">
            <v>3754.0484387759725</v>
          </cell>
          <cell r="BZ23">
            <v>2007.6995999999999</v>
          </cell>
          <cell r="CA23">
            <v>0</v>
          </cell>
          <cell r="CB23">
            <v>84309.717893589856</v>
          </cell>
          <cell r="CC23">
            <v>36894.824524094758</v>
          </cell>
          <cell r="CD23">
            <v>0</v>
          </cell>
          <cell r="CE23">
            <v>233722.39975274785</v>
          </cell>
          <cell r="EP23">
            <v>0</v>
          </cell>
          <cell r="EQ23">
            <v>462581.29609632608</v>
          </cell>
          <cell r="ER23">
            <v>462581.29609632608</v>
          </cell>
          <cell r="ET23">
            <v>39.498947368421049</v>
          </cell>
          <cell r="EU23">
            <v>11711.230979946429</v>
          </cell>
          <cell r="EV23" t="str">
            <v>No Variation Applied</v>
          </cell>
          <cell r="EX23">
            <v>0</v>
          </cell>
          <cell r="EY23">
            <v>0</v>
          </cell>
          <cell r="EZ23">
            <v>91580.141932365848</v>
          </cell>
        </row>
        <row r="24">
          <cell r="C24" t="str">
            <v>Harrington Nursery School</v>
          </cell>
          <cell r="D24">
            <v>1008</v>
          </cell>
          <cell r="F24" t="str">
            <v/>
          </cell>
          <cell r="G24">
            <v>45600</v>
          </cell>
          <cell r="H24">
            <v>0</v>
          </cell>
          <cell r="I24">
            <v>0</v>
          </cell>
          <cell r="J24">
            <v>0</v>
          </cell>
          <cell r="L24">
            <v>278114.42472196906</v>
          </cell>
          <cell r="M24">
            <v>45600</v>
          </cell>
          <cell r="N24">
            <v>48</v>
          </cell>
          <cell r="S24">
            <v>0</v>
          </cell>
          <cell r="T24">
            <v>0</v>
          </cell>
          <cell r="BS24">
            <v>27156.167999999998</v>
          </cell>
          <cell r="BT24">
            <v>47500</v>
          </cell>
          <cell r="BU24">
            <v>6034.7039999999997</v>
          </cell>
          <cell r="BV24">
            <v>16143</v>
          </cell>
          <cell r="BW24">
            <v>1692.76</v>
          </cell>
          <cell r="BX24">
            <v>-8.623310754832346</v>
          </cell>
          <cell r="BY24">
            <v>23275.100320411031</v>
          </cell>
          <cell r="BZ24">
            <v>4015.3991999999998</v>
          </cell>
          <cell r="CA24">
            <v>0</v>
          </cell>
          <cell r="CB24">
            <v>0</v>
          </cell>
          <cell r="CC24">
            <v>4282.864690168004</v>
          </cell>
          <cell r="CD24">
            <v>0</v>
          </cell>
          <cell r="CE24">
            <v>130091.3728998242</v>
          </cell>
          <cell r="EP24">
            <v>0</v>
          </cell>
          <cell r="EQ24">
            <v>408205.79762179323</v>
          </cell>
          <cell r="ER24">
            <v>408205.79762179323</v>
          </cell>
          <cell r="ET24">
            <v>48</v>
          </cell>
          <cell r="EU24">
            <v>8504.287450454025</v>
          </cell>
          <cell r="EV24" t="str">
            <v>No Variation Applied</v>
          </cell>
          <cell r="EX24">
            <v>0</v>
          </cell>
          <cell r="EY24">
            <v>0</v>
          </cell>
          <cell r="EZ24">
            <v>33325.203520411029</v>
          </cell>
        </row>
        <row r="25">
          <cell r="C25" t="str">
            <v>Walbrook Nursery School</v>
          </cell>
          <cell r="D25">
            <v>1009</v>
          </cell>
          <cell r="F25" t="str">
            <v/>
          </cell>
          <cell r="G25">
            <v>45600</v>
          </cell>
          <cell r="H25">
            <v>0</v>
          </cell>
          <cell r="I25">
            <v>0</v>
          </cell>
          <cell r="J25">
            <v>0</v>
          </cell>
          <cell r="L25">
            <v>278114.42472196906</v>
          </cell>
          <cell r="M25">
            <v>45600</v>
          </cell>
          <cell r="N25">
            <v>48</v>
          </cell>
          <cell r="S25">
            <v>0</v>
          </cell>
          <cell r="T25">
            <v>0</v>
          </cell>
          <cell r="BS25">
            <v>25763.544000000002</v>
          </cell>
          <cell r="BT25">
            <v>47500</v>
          </cell>
          <cell r="BU25">
            <v>3713.6640000000002</v>
          </cell>
          <cell r="BV25">
            <v>0</v>
          </cell>
          <cell r="BW25">
            <v>3320.41</v>
          </cell>
          <cell r="BX25">
            <v>-3298.4292772845947</v>
          </cell>
          <cell r="BY25">
            <v>9760.525940817528</v>
          </cell>
          <cell r="BZ25">
            <v>2007.6995999999999</v>
          </cell>
          <cell r="CA25">
            <v>0</v>
          </cell>
          <cell r="CB25">
            <v>0</v>
          </cell>
          <cell r="CC25">
            <v>1540.2654465621454</v>
          </cell>
          <cell r="CD25">
            <v>8840.6951250000002</v>
          </cell>
          <cell r="CE25">
            <v>99148.374835095077</v>
          </cell>
          <cell r="EP25">
            <v>0</v>
          </cell>
          <cell r="EQ25">
            <v>377262.79955706414</v>
          </cell>
          <cell r="ER25">
            <v>377262.79955706414</v>
          </cell>
          <cell r="ET25">
            <v>48</v>
          </cell>
          <cell r="EU25">
            <v>7859.6416574388359</v>
          </cell>
          <cell r="EV25" t="str">
            <v>No Variation Applied</v>
          </cell>
          <cell r="EX25">
            <v>0</v>
          </cell>
          <cell r="EY25">
            <v>0</v>
          </cell>
          <cell r="EZ25">
            <v>15481.889540817529</v>
          </cell>
        </row>
        <row r="26">
          <cell r="C26" t="str">
            <v>Stonehill Nursery School</v>
          </cell>
          <cell r="D26">
            <v>1010</v>
          </cell>
          <cell r="F26" t="str">
            <v/>
          </cell>
          <cell r="G26">
            <v>37650</v>
          </cell>
          <cell r="H26">
            <v>0</v>
          </cell>
          <cell r="I26">
            <v>0</v>
          </cell>
          <cell r="J26">
            <v>0</v>
          </cell>
          <cell r="L26">
            <v>229627.3704118889</v>
          </cell>
          <cell r="M26">
            <v>37650</v>
          </cell>
          <cell r="N26">
            <v>39.631578947368418</v>
          </cell>
          <cell r="S26">
            <v>0</v>
          </cell>
          <cell r="T26">
            <v>0</v>
          </cell>
          <cell r="BS26">
            <v>19148.580000000002</v>
          </cell>
          <cell r="BT26">
            <v>47500</v>
          </cell>
          <cell r="BU26">
            <v>5918.652</v>
          </cell>
          <cell r="BV26">
            <v>0</v>
          </cell>
          <cell r="BW26">
            <v>1725.32</v>
          </cell>
          <cell r="BX26">
            <v>-23045.603770437243</v>
          </cell>
          <cell r="BY26">
            <v>9760.525940817528</v>
          </cell>
          <cell r="BZ26">
            <v>1003.8498</v>
          </cell>
          <cell r="CA26">
            <v>0</v>
          </cell>
          <cell r="CB26">
            <v>0</v>
          </cell>
          <cell r="CC26">
            <v>94616.697208817641</v>
          </cell>
          <cell r="CD26">
            <v>0</v>
          </cell>
          <cell r="CE26">
            <v>156628.02117919794</v>
          </cell>
          <cell r="EP26">
            <v>0</v>
          </cell>
          <cell r="EQ26">
            <v>386255.39159108687</v>
          </cell>
          <cell r="ER26">
            <v>386255.39159108687</v>
          </cell>
          <cell r="ET26">
            <v>39.631578947368418</v>
          </cell>
          <cell r="EU26">
            <v>9746.1519790579696</v>
          </cell>
          <cell r="EV26" t="str">
            <v>No Variation Applied</v>
          </cell>
          <cell r="EX26">
            <v>0</v>
          </cell>
          <cell r="EY26">
            <v>0</v>
          </cell>
          <cell r="EZ26">
            <v>16683.027740817528</v>
          </cell>
        </row>
        <row r="27">
          <cell r="C27" t="str">
            <v>Ashgate Nursery School</v>
          </cell>
          <cell r="D27">
            <v>1014</v>
          </cell>
          <cell r="F27" t="str">
            <v/>
          </cell>
          <cell r="G27">
            <v>31698</v>
          </cell>
          <cell r="H27">
            <v>0</v>
          </cell>
          <cell r="I27">
            <v>0</v>
          </cell>
          <cell r="J27">
            <v>0</v>
          </cell>
          <cell r="L27">
            <v>193326.11918502138</v>
          </cell>
          <cell r="M27">
            <v>31698</v>
          </cell>
          <cell r="N27">
            <v>33.366315789473681</v>
          </cell>
          <cell r="S27">
            <v>0</v>
          </cell>
          <cell r="T27">
            <v>0</v>
          </cell>
          <cell r="BS27">
            <v>9377.0015999999996</v>
          </cell>
          <cell r="BT27">
            <v>47500</v>
          </cell>
          <cell r="BU27">
            <v>464.20800000000003</v>
          </cell>
          <cell r="BV27">
            <v>0</v>
          </cell>
          <cell r="BW27">
            <v>6560.64</v>
          </cell>
          <cell r="BX27">
            <v>-5586.1423095781356</v>
          </cell>
          <cell r="BY27">
            <v>0</v>
          </cell>
          <cell r="BZ27">
            <v>4015.3991999999998</v>
          </cell>
          <cell r="CA27">
            <v>0</v>
          </cell>
          <cell r="CB27">
            <v>0</v>
          </cell>
          <cell r="CC27">
            <v>45591.875325018947</v>
          </cell>
          <cell r="CD27">
            <v>0</v>
          </cell>
          <cell r="CE27">
            <v>107922.98181544081</v>
          </cell>
          <cell r="EP27">
            <v>0</v>
          </cell>
          <cell r="EQ27">
            <v>301249.10100046219</v>
          </cell>
          <cell r="ER27">
            <v>301249.10100046219</v>
          </cell>
          <cell r="ET27">
            <v>33.366315789473681</v>
          </cell>
          <cell r="EU27">
            <v>9028.5395277443095</v>
          </cell>
          <cell r="EV27" t="str">
            <v>No Variation Applied</v>
          </cell>
          <cell r="EX27">
            <v>0</v>
          </cell>
          <cell r="EY27">
            <v>0</v>
          </cell>
          <cell r="EZ27">
            <v>4479.6071999999995</v>
          </cell>
        </row>
        <row r="28">
          <cell r="C28" t="str">
            <v>Whitecross Nursery School</v>
          </cell>
          <cell r="D28">
            <v>1015</v>
          </cell>
          <cell r="F28" t="str">
            <v/>
          </cell>
          <cell r="G28">
            <v>43338</v>
          </cell>
          <cell r="H28">
            <v>0</v>
          </cell>
          <cell r="I28">
            <v>0</v>
          </cell>
          <cell r="J28">
            <v>0</v>
          </cell>
          <cell r="L28">
            <v>264318.48549562925</v>
          </cell>
          <cell r="M28">
            <v>43338</v>
          </cell>
          <cell r="N28">
            <v>45.618947368421054</v>
          </cell>
          <cell r="S28">
            <v>0</v>
          </cell>
          <cell r="T28">
            <v>0</v>
          </cell>
          <cell r="BS28">
            <v>3272.6664000000001</v>
          </cell>
          <cell r="BT28">
            <v>47500</v>
          </cell>
          <cell r="BU28">
            <v>232.10400000000001</v>
          </cell>
          <cell r="BV28">
            <v>0</v>
          </cell>
          <cell r="BW28">
            <v>2148.5100000000002</v>
          </cell>
          <cell r="BX28">
            <v>20232.521069210634</v>
          </cell>
          <cell r="BY28">
            <v>22824.614507757913</v>
          </cell>
          <cell r="BZ28">
            <v>1003.8498</v>
          </cell>
          <cell r="CA28">
            <v>0</v>
          </cell>
          <cell r="CB28">
            <v>0</v>
          </cell>
          <cell r="CC28">
            <v>0</v>
          </cell>
          <cell r="CD28">
            <v>0</v>
          </cell>
          <cell r="CE28">
            <v>97214.265776968547</v>
          </cell>
          <cell r="EP28">
            <v>0</v>
          </cell>
          <cell r="EQ28">
            <v>361532.75127259782</v>
          </cell>
          <cell r="ER28">
            <v>361532.75127259782</v>
          </cell>
          <cell r="ET28">
            <v>45.618947368421054</v>
          </cell>
          <cell r="EU28">
            <v>7925.0568487001692</v>
          </cell>
          <cell r="EV28" t="str">
            <v>No Variation Applied</v>
          </cell>
          <cell r="EX28">
            <v>0</v>
          </cell>
          <cell r="EY28">
            <v>0</v>
          </cell>
          <cell r="EZ28">
            <v>24060.568307757912</v>
          </cell>
        </row>
        <row r="29">
          <cell r="C29" t="str">
            <v>Castle Nursery School</v>
          </cell>
          <cell r="D29">
            <v>1017</v>
          </cell>
          <cell r="F29" t="str">
            <v/>
          </cell>
          <cell r="G29">
            <v>16572</v>
          </cell>
          <cell r="H29">
            <v>0</v>
          </cell>
          <cell r="I29">
            <v>0</v>
          </cell>
          <cell r="J29">
            <v>0</v>
          </cell>
          <cell r="L29">
            <v>101072.63698448401</v>
          </cell>
          <cell r="M29">
            <v>16572</v>
          </cell>
          <cell r="N29">
            <v>17.444210526315789</v>
          </cell>
          <cell r="S29">
            <v>0</v>
          </cell>
          <cell r="T29">
            <v>0</v>
          </cell>
          <cell r="BS29">
            <v>7357.6968000000006</v>
          </cell>
          <cell r="BT29">
            <v>47500</v>
          </cell>
          <cell r="BU29">
            <v>1740.78</v>
          </cell>
          <cell r="BV29">
            <v>1001</v>
          </cell>
          <cell r="BW29">
            <v>4287.2700000000004</v>
          </cell>
          <cell r="BX29">
            <v>29373.456776685489</v>
          </cell>
          <cell r="BY29">
            <v>1251.349479591991</v>
          </cell>
          <cell r="BZ29">
            <v>1003.8498</v>
          </cell>
          <cell r="CA29">
            <v>0</v>
          </cell>
          <cell r="CB29">
            <v>0</v>
          </cell>
          <cell r="CC29">
            <v>58442.177117062209</v>
          </cell>
          <cell r="CD29">
            <v>0</v>
          </cell>
          <cell r="CE29">
            <v>151957.57997333969</v>
          </cell>
          <cell r="EP29">
            <v>0</v>
          </cell>
          <cell r="EQ29">
            <v>253030.21695782369</v>
          </cell>
          <cell r="ER29">
            <v>253030.21695782369</v>
          </cell>
          <cell r="ET29">
            <v>17.444210526315789</v>
          </cell>
          <cell r="EU29">
            <v>14505.111399344227</v>
          </cell>
          <cell r="EV29" t="str">
            <v>No Variation Applied</v>
          </cell>
          <cell r="EX29">
            <v>0</v>
          </cell>
          <cell r="EY29">
            <v>0</v>
          </cell>
          <cell r="EZ29">
            <v>3995.9792795919911</v>
          </cell>
        </row>
        <row r="31">
          <cell r="B31" t="str">
            <v>Total/average Nursery Schools</v>
          </cell>
          <cell r="G31">
            <v>310992</v>
          </cell>
          <cell r="H31">
            <v>0</v>
          </cell>
          <cell r="I31">
            <v>0</v>
          </cell>
          <cell r="J31">
            <v>0</v>
          </cell>
          <cell r="K31">
            <v>0</v>
          </cell>
          <cell r="L31">
            <v>1896740.376603829</v>
          </cell>
          <cell r="M31">
            <v>310992</v>
          </cell>
          <cell r="N31">
            <v>327.35999999999996</v>
          </cell>
          <cell r="O31">
            <v>0</v>
          </cell>
          <cell r="P31">
            <v>0</v>
          </cell>
          <cell r="Q31">
            <v>0</v>
          </cell>
          <cell r="R31">
            <v>0</v>
          </cell>
          <cell r="S31">
            <v>0</v>
          </cell>
          <cell r="T31">
            <v>0</v>
          </cell>
          <cell r="BS31">
            <v>137521.62</v>
          </cell>
          <cell r="BT31">
            <v>380000</v>
          </cell>
          <cell r="BU31">
            <v>21353.567999999999</v>
          </cell>
          <cell r="BV31">
            <v>18646</v>
          </cell>
          <cell r="BW31">
            <v>32073.469999999998</v>
          </cell>
          <cell r="BX31">
            <v>60915.94461007198</v>
          </cell>
          <cell r="BY31">
            <v>70626.164628171973</v>
          </cell>
          <cell r="BZ31">
            <v>22084.695599999999</v>
          </cell>
          <cell r="CA31">
            <v>0</v>
          </cell>
          <cell r="CB31">
            <v>168619.43578717971</v>
          </cell>
          <cell r="CC31">
            <v>241368.7043117237</v>
          </cell>
          <cell r="CD31">
            <v>8840.6951250000002</v>
          </cell>
          <cell r="CE31">
            <v>1162050.2980621473</v>
          </cell>
          <cell r="EP31">
            <v>0</v>
          </cell>
          <cell r="EQ31">
            <v>3058790.6746659768</v>
          </cell>
          <cell r="ER31">
            <v>3058790.6746659763</v>
          </cell>
          <cell r="ET31">
            <v>327.35999999999996</v>
          </cell>
          <cell r="EU31">
            <v>9343.8131557489505</v>
          </cell>
          <cell r="EX31">
            <v>0</v>
          </cell>
          <cell r="EY31">
            <v>0</v>
          </cell>
          <cell r="EZ31">
            <v>282683.86401535169</v>
          </cell>
        </row>
        <row r="33">
          <cell r="B33" t="str">
            <v>PVI Providers TOTAL</v>
          </cell>
          <cell r="G33">
            <v>0</v>
          </cell>
          <cell r="H33">
            <v>0</v>
          </cell>
          <cell r="I33">
            <v>264836</v>
          </cell>
          <cell r="J33">
            <v>672478</v>
          </cell>
          <cell r="L33">
            <v>3204204.3536940585</v>
          </cell>
          <cell r="M33">
            <v>937314</v>
          </cell>
          <cell r="N33">
            <v>986.64631578947365</v>
          </cell>
          <cell r="S33">
            <v>0</v>
          </cell>
          <cell r="T33">
            <v>0</v>
          </cell>
          <cell r="BS33">
            <v>190963.15880000003</v>
          </cell>
          <cell r="BT33">
            <v>0</v>
          </cell>
          <cell r="BU33">
            <v>25605.753999999994</v>
          </cell>
          <cell r="BV33">
            <v>0</v>
          </cell>
          <cell r="BW33">
            <v>0</v>
          </cell>
          <cell r="BX33">
            <v>0</v>
          </cell>
          <cell r="BY33">
            <v>0</v>
          </cell>
          <cell r="BZ33">
            <v>40622.455239999981</v>
          </cell>
          <cell r="CA33">
            <v>-123465.43852615121</v>
          </cell>
          <cell r="CB33">
            <v>0</v>
          </cell>
          <cell r="CC33">
            <v>90744</v>
          </cell>
          <cell r="CD33">
            <v>0</v>
          </cell>
          <cell r="CE33">
            <v>224469.92951384879</v>
          </cell>
          <cell r="EP33">
            <v>0</v>
          </cell>
          <cell r="EQ33">
            <v>3428674.2832079073</v>
          </cell>
          <cell r="ER33">
            <v>3428674.2832079073</v>
          </cell>
          <cell r="ET33">
            <v>937314</v>
          </cell>
          <cell r="EU33">
            <v>3.6579783116521329</v>
          </cell>
          <cell r="EX33">
            <v>0</v>
          </cell>
          <cell r="EY33">
            <v>0</v>
          </cell>
          <cell r="EZ33">
            <v>0</v>
          </cell>
        </row>
        <row r="35">
          <cell r="A35" t="str">
            <v>Primary Schools</v>
          </cell>
        </row>
        <row r="36">
          <cell r="C36" t="str">
            <v>Reigate Primary School</v>
          </cell>
          <cell r="D36">
            <v>2000</v>
          </cell>
          <cell r="F36" t="str">
            <v/>
          </cell>
          <cell r="G36">
            <v>0</v>
          </cell>
          <cell r="H36">
            <v>17940</v>
          </cell>
          <cell r="I36">
            <v>0</v>
          </cell>
          <cell r="J36">
            <v>0</v>
          </cell>
          <cell r="L36">
            <v>62725.976471544862</v>
          </cell>
          <cell r="M36">
            <v>17940</v>
          </cell>
          <cell r="N36">
            <v>18.88421052631579</v>
          </cell>
          <cell r="S36">
            <v>0</v>
          </cell>
          <cell r="T36">
            <v>0</v>
          </cell>
          <cell r="U36">
            <v>52</v>
          </cell>
          <cell r="Y36">
            <v>38</v>
          </cell>
          <cell r="Z36">
            <v>46</v>
          </cell>
          <cell r="AA36">
            <v>42</v>
          </cell>
          <cell r="AB36">
            <v>38</v>
          </cell>
          <cell r="AC36">
            <v>40</v>
          </cell>
          <cell r="AD36">
            <v>53</v>
          </cell>
          <cell r="AK36">
            <v>801469.65717171633</v>
          </cell>
          <cell r="AL36">
            <v>309</v>
          </cell>
          <cell r="BS36">
            <v>4758.1319999999996</v>
          </cell>
          <cell r="BT36">
            <v>0</v>
          </cell>
          <cell r="BU36">
            <v>464.20800000000003</v>
          </cell>
          <cell r="BV36">
            <v>0</v>
          </cell>
          <cell r="BW36">
            <v>0</v>
          </cell>
          <cell r="BX36">
            <v>-3185.652731254886</v>
          </cell>
          <cell r="BY36">
            <v>0</v>
          </cell>
          <cell r="BZ36">
            <v>0</v>
          </cell>
          <cell r="CA36">
            <v>0</v>
          </cell>
          <cell r="CB36">
            <v>0</v>
          </cell>
          <cell r="CC36">
            <v>0</v>
          </cell>
          <cell r="CD36">
            <v>0</v>
          </cell>
          <cell r="CE36">
            <v>2036.6872687451132</v>
          </cell>
          <cell r="CF36">
            <v>22680.611130037629</v>
          </cell>
          <cell r="CI36">
            <v>0</v>
          </cell>
          <cell r="CJ36">
            <v>0</v>
          </cell>
          <cell r="CK36">
            <v>6271.77</v>
          </cell>
          <cell r="CL36">
            <v>2300.8084814452386</v>
          </cell>
          <cell r="CM36">
            <v>31253.189611482867</v>
          </cell>
          <cell r="CQ36">
            <v>3046.9238377843717</v>
          </cell>
          <cell r="CR36">
            <v>2612.63</v>
          </cell>
          <cell r="CS36">
            <v>3637.5346827226617</v>
          </cell>
          <cell r="CT36">
            <v>9297.0885205070335</v>
          </cell>
          <cell r="CU36">
            <v>0</v>
          </cell>
          <cell r="CV36">
            <v>0</v>
          </cell>
          <cell r="CW36">
            <v>0</v>
          </cell>
          <cell r="CX36">
            <v>410850.88821681798</v>
          </cell>
          <cell r="CZ36">
            <v>410850.88821681798</v>
          </cell>
          <cell r="DC36">
            <v>0</v>
          </cell>
          <cell r="DD36">
            <v>119805.88018548762</v>
          </cell>
          <cell r="DE36">
            <v>75718.016615653687</v>
          </cell>
          <cell r="DF36">
            <v>6848.9393980209397</v>
          </cell>
          <cell r="DG36">
            <v>0</v>
          </cell>
          <cell r="DH36">
            <v>0</v>
          </cell>
          <cell r="DI36">
            <v>202372.83619916227</v>
          </cell>
          <cell r="DJ36">
            <v>0</v>
          </cell>
          <cell r="DK36">
            <v>15228.5</v>
          </cell>
          <cell r="DL36">
            <v>7828.26</v>
          </cell>
          <cell r="DM36">
            <v>70073.495851086889</v>
          </cell>
          <cell r="DN36">
            <v>0</v>
          </cell>
          <cell r="DO36">
            <v>0</v>
          </cell>
          <cell r="DP36">
            <v>0</v>
          </cell>
          <cell r="DQ36">
            <v>93130.255851086898</v>
          </cell>
          <cell r="DR36">
            <v>0</v>
          </cell>
          <cell r="DS36">
            <v>0</v>
          </cell>
          <cell r="DT36">
            <v>0</v>
          </cell>
          <cell r="DU36">
            <v>0</v>
          </cell>
          <cell r="DV36">
            <v>0</v>
          </cell>
          <cell r="DW36">
            <v>0</v>
          </cell>
          <cell r="DX36">
            <v>0</v>
          </cell>
          <cell r="DY36">
            <v>6208.8949405619987</v>
          </cell>
          <cell r="DZ36">
            <v>0</v>
          </cell>
          <cell r="EA36">
            <v>0</v>
          </cell>
          <cell r="EB36">
            <v>6208.8949405619987</v>
          </cell>
          <cell r="EE36">
            <v>0</v>
          </cell>
          <cell r="EH36">
            <v>0</v>
          </cell>
          <cell r="EI36">
            <v>0</v>
          </cell>
          <cell r="EK36">
            <v>0</v>
          </cell>
          <cell r="EL36">
            <v>3504</v>
          </cell>
          <cell r="EM36">
            <v>22184</v>
          </cell>
          <cell r="EO36">
            <v>25688</v>
          </cell>
          <cell r="EP36">
            <v>0</v>
          </cell>
          <cell r="EQ36">
            <v>64762.663740289972</v>
          </cell>
          <cell r="ER36">
            <v>1645033.4742516256</v>
          </cell>
          <cell r="ET36">
            <v>327.88421052631577</v>
          </cell>
          <cell r="EU36">
            <v>5017.1170841408857</v>
          </cell>
          <cell r="EV36" t="str">
            <v>No Variation Applied</v>
          </cell>
          <cell r="EW36">
            <v>69250</v>
          </cell>
          <cell r="EX36">
            <v>0</v>
          </cell>
          <cell r="EY36">
            <v>0</v>
          </cell>
          <cell r="EZ36">
            <v>562799.03318154742</v>
          </cell>
        </row>
        <row r="37">
          <cell r="C37" t="str">
            <v>Roe Farm Primary School</v>
          </cell>
          <cell r="D37">
            <v>2001</v>
          </cell>
          <cell r="F37" t="str">
            <v/>
          </cell>
          <cell r="G37">
            <v>0</v>
          </cell>
          <cell r="H37">
            <v>35940</v>
          </cell>
          <cell r="I37">
            <v>0</v>
          </cell>
          <cell r="J37">
            <v>0</v>
          </cell>
          <cell r="L37">
            <v>125661.73881757649</v>
          </cell>
          <cell r="M37">
            <v>35940</v>
          </cell>
          <cell r="N37">
            <v>37.831578947368421</v>
          </cell>
          <cell r="S37">
            <v>0</v>
          </cell>
          <cell r="T37">
            <v>0</v>
          </cell>
          <cell r="U37">
            <v>46</v>
          </cell>
          <cell r="Y37">
            <v>42</v>
          </cell>
          <cell r="Z37">
            <v>49</v>
          </cell>
          <cell r="AA37">
            <v>45</v>
          </cell>
          <cell r="AB37">
            <v>44</v>
          </cell>
          <cell r="AC37">
            <v>27</v>
          </cell>
          <cell r="AD37">
            <v>38</v>
          </cell>
          <cell r="AK37">
            <v>752364.52673440636</v>
          </cell>
          <cell r="AL37">
            <v>291</v>
          </cell>
          <cell r="BS37">
            <v>15318.864</v>
          </cell>
          <cell r="BT37">
            <v>0</v>
          </cell>
          <cell r="BU37">
            <v>580.26</v>
          </cell>
          <cell r="BV37">
            <v>0</v>
          </cell>
          <cell r="BW37">
            <v>0</v>
          </cell>
          <cell r="BX37">
            <v>13978.400800000003</v>
          </cell>
          <cell r="BY37">
            <v>0</v>
          </cell>
          <cell r="BZ37">
            <v>8030.7983999999997</v>
          </cell>
          <cell r="CA37">
            <v>0</v>
          </cell>
          <cell r="CB37">
            <v>0</v>
          </cell>
          <cell r="CC37">
            <v>0</v>
          </cell>
          <cell r="CD37">
            <v>0</v>
          </cell>
          <cell r="CE37">
            <v>37908.323199999999</v>
          </cell>
          <cell r="CF37">
            <v>22680.611130037629</v>
          </cell>
          <cell r="CI37">
            <v>0</v>
          </cell>
          <cell r="CJ37">
            <v>0</v>
          </cell>
          <cell r="CK37">
            <v>5906.43</v>
          </cell>
          <cell r="CL37">
            <v>1689.0550557766885</v>
          </cell>
          <cell r="CM37">
            <v>30276.096185814316</v>
          </cell>
          <cell r="CQ37">
            <v>2285.1928783382787</v>
          </cell>
          <cell r="CR37">
            <v>4622.34</v>
          </cell>
          <cell r="CS37">
            <v>3233.3641624201437</v>
          </cell>
          <cell r="CT37">
            <v>10140.897040758424</v>
          </cell>
          <cell r="CU37">
            <v>10511.335628572724</v>
          </cell>
          <cell r="CV37">
            <v>0</v>
          </cell>
          <cell r="CW37">
            <v>10511.335628572724</v>
          </cell>
          <cell r="CX37">
            <v>0</v>
          </cell>
          <cell r="CZ37">
            <v>0</v>
          </cell>
          <cell r="DC37">
            <v>0</v>
          </cell>
          <cell r="DD37">
            <v>213111.12439198446</v>
          </cell>
          <cell r="DE37">
            <v>147115.78603702085</v>
          </cell>
          <cell r="DF37">
            <v>24827.405317825906</v>
          </cell>
          <cell r="DG37">
            <v>0</v>
          </cell>
          <cell r="DH37">
            <v>0</v>
          </cell>
          <cell r="DI37">
            <v>385054.31574683118</v>
          </cell>
          <cell r="DJ37">
            <v>0</v>
          </cell>
          <cell r="DK37">
            <v>17289.5</v>
          </cell>
          <cell r="DL37">
            <v>10144.719999999999</v>
          </cell>
          <cell r="DM37">
            <v>70073.495851086889</v>
          </cell>
          <cell r="DN37">
            <v>0</v>
          </cell>
          <cell r="DO37">
            <v>0</v>
          </cell>
          <cell r="DP37">
            <v>0</v>
          </cell>
          <cell r="DQ37">
            <v>97507.71585108689</v>
          </cell>
          <cell r="DR37">
            <v>0</v>
          </cell>
          <cell r="DS37">
            <v>0</v>
          </cell>
          <cell r="DT37">
            <v>0</v>
          </cell>
          <cell r="DU37">
            <v>0</v>
          </cell>
          <cell r="DV37">
            <v>0</v>
          </cell>
          <cell r="DW37">
            <v>0</v>
          </cell>
          <cell r="DX37">
            <v>0</v>
          </cell>
          <cell r="DY37">
            <v>4248.1912751213677</v>
          </cell>
          <cell r="DZ37">
            <v>0</v>
          </cell>
          <cell r="EA37">
            <v>0</v>
          </cell>
          <cell r="EB37">
            <v>4248.1912751213677</v>
          </cell>
          <cell r="EE37">
            <v>0</v>
          </cell>
          <cell r="EH37">
            <v>0</v>
          </cell>
          <cell r="EI37">
            <v>0</v>
          </cell>
          <cell r="EK37">
            <v>0</v>
          </cell>
          <cell r="EL37">
            <v>0</v>
          </cell>
          <cell r="EM37">
            <v>0</v>
          </cell>
          <cell r="EO37">
            <v>0</v>
          </cell>
          <cell r="EP37">
            <v>0</v>
          </cell>
          <cell r="EQ37">
            <v>163570.06201757648</v>
          </cell>
          <cell r="ER37">
            <v>1453673.1404801679</v>
          </cell>
          <cell r="ET37">
            <v>328.83157894736843</v>
          </cell>
          <cell r="EU37">
            <v>4420.7224413590684</v>
          </cell>
          <cell r="EV37" t="str">
            <v>No Variation Applied</v>
          </cell>
          <cell r="EW37">
            <v>114600</v>
          </cell>
          <cell r="EX37">
            <v>0</v>
          </cell>
          <cell r="EY37">
            <v>0</v>
          </cell>
          <cell r="EZ37">
            <v>280422.32609066629</v>
          </cell>
        </row>
        <row r="38">
          <cell r="C38" t="str">
            <v>Griffe Field Primary School</v>
          </cell>
          <cell r="D38">
            <v>2002</v>
          </cell>
          <cell r="F38" t="str">
            <v/>
          </cell>
          <cell r="G38">
            <v>0</v>
          </cell>
          <cell r="H38">
            <v>28170</v>
          </cell>
          <cell r="I38">
            <v>0</v>
          </cell>
          <cell r="J38">
            <v>0</v>
          </cell>
          <cell r="L38">
            <v>98494.468071539508</v>
          </cell>
          <cell r="M38">
            <v>28170</v>
          </cell>
          <cell r="N38">
            <v>29.652631578947368</v>
          </cell>
          <cell r="S38">
            <v>0</v>
          </cell>
          <cell r="T38">
            <v>0</v>
          </cell>
          <cell r="U38">
            <v>60</v>
          </cell>
          <cell r="Y38">
            <v>60</v>
          </cell>
          <cell r="Z38">
            <v>60</v>
          </cell>
          <cell r="AA38">
            <v>60</v>
          </cell>
          <cell r="AB38">
            <v>63</v>
          </cell>
          <cell r="AC38">
            <v>60</v>
          </cell>
          <cell r="AD38">
            <v>59</v>
          </cell>
          <cell r="AK38">
            <v>1090217.6716004466</v>
          </cell>
          <cell r="AL38">
            <v>422</v>
          </cell>
          <cell r="BS38">
            <v>580.26</v>
          </cell>
          <cell r="BT38">
            <v>0</v>
          </cell>
          <cell r="BU38">
            <v>116.05200000000001</v>
          </cell>
          <cell r="BV38">
            <v>0</v>
          </cell>
          <cell r="BW38">
            <v>0</v>
          </cell>
          <cell r="BX38">
            <v>10213.682199999996</v>
          </cell>
          <cell r="BY38">
            <v>0</v>
          </cell>
          <cell r="BZ38">
            <v>0</v>
          </cell>
          <cell r="CA38">
            <v>0</v>
          </cell>
          <cell r="CB38">
            <v>0</v>
          </cell>
          <cell r="CC38">
            <v>0</v>
          </cell>
          <cell r="CD38">
            <v>0</v>
          </cell>
          <cell r="CE38">
            <v>10909.994199999996</v>
          </cell>
          <cell r="CF38">
            <v>22680.611130037629</v>
          </cell>
          <cell r="CI38">
            <v>0</v>
          </cell>
          <cell r="CJ38">
            <v>0</v>
          </cell>
          <cell r="CK38">
            <v>8565.33</v>
          </cell>
          <cell r="CL38">
            <v>5353.1631000849638</v>
          </cell>
          <cell r="CM38">
            <v>36599.104230122597</v>
          </cell>
          <cell r="CQ38">
            <v>3808.6547972304647</v>
          </cell>
          <cell r="CR38">
            <v>2813.6</v>
          </cell>
          <cell r="CS38">
            <v>10508.433527865467</v>
          </cell>
          <cell r="CT38">
            <v>17130.688325095933</v>
          </cell>
          <cell r="CU38">
            <v>38291.294075514917</v>
          </cell>
          <cell r="CV38">
            <v>27029.148759187003</v>
          </cell>
          <cell r="CW38">
            <v>65320.44283470192</v>
          </cell>
          <cell r="CX38">
            <v>0</v>
          </cell>
          <cell r="CZ38">
            <v>0</v>
          </cell>
          <cell r="DC38">
            <v>0</v>
          </cell>
          <cell r="DD38">
            <v>45553.959120257423</v>
          </cell>
          <cell r="DE38">
            <v>4320.2471942865468</v>
          </cell>
          <cell r="DF38">
            <v>4280.5871237630872</v>
          </cell>
          <cell r="DG38">
            <v>0</v>
          </cell>
          <cell r="DH38">
            <v>0</v>
          </cell>
          <cell r="DI38">
            <v>54154.793438307053</v>
          </cell>
          <cell r="DJ38">
            <v>0</v>
          </cell>
          <cell r="DK38">
            <v>42365</v>
          </cell>
          <cell r="DL38">
            <v>2906.08</v>
          </cell>
          <cell r="DM38">
            <v>70073.495851086889</v>
          </cell>
          <cell r="DN38">
            <v>0</v>
          </cell>
          <cell r="DO38">
            <v>0</v>
          </cell>
          <cell r="DP38">
            <v>0</v>
          </cell>
          <cell r="DQ38">
            <v>115344.57585108689</v>
          </cell>
          <cell r="DR38">
            <v>0</v>
          </cell>
          <cell r="DS38">
            <v>0</v>
          </cell>
          <cell r="DT38">
            <v>0</v>
          </cell>
          <cell r="DU38">
            <v>0</v>
          </cell>
          <cell r="DV38">
            <v>0</v>
          </cell>
          <cell r="DW38">
            <v>0</v>
          </cell>
          <cell r="DX38">
            <v>0</v>
          </cell>
          <cell r="DY38">
            <v>2614.2715539208416</v>
          </cell>
          <cell r="DZ38">
            <v>0</v>
          </cell>
          <cell r="EA38">
            <v>0</v>
          </cell>
          <cell r="EB38">
            <v>2614.2715539208416</v>
          </cell>
          <cell r="EE38">
            <v>0</v>
          </cell>
          <cell r="EH38">
            <v>0</v>
          </cell>
          <cell r="EI38">
            <v>0</v>
          </cell>
          <cell r="EK38">
            <v>0</v>
          </cell>
          <cell r="EL38">
            <v>8885</v>
          </cell>
          <cell r="EM38">
            <v>0</v>
          </cell>
          <cell r="EO38">
            <v>8885</v>
          </cell>
          <cell r="EP38">
            <v>0</v>
          </cell>
          <cell r="EQ38">
            <v>109404.46227153951</v>
          </cell>
          <cell r="ER38">
            <v>1499671.0101052213</v>
          </cell>
          <cell r="ET38">
            <v>451.65263157894736</v>
          </cell>
          <cell r="EU38">
            <v>3320.4079977625101</v>
          </cell>
          <cell r="EV38" t="str">
            <v>No Variation Applied</v>
          </cell>
          <cell r="EW38">
            <v>25800</v>
          </cell>
          <cell r="EX38">
            <v>0</v>
          </cell>
          <cell r="EY38">
            <v>0</v>
          </cell>
          <cell r="EZ38">
            <v>142207.8980137347</v>
          </cell>
        </row>
        <row r="39">
          <cell r="C39" t="str">
            <v>Parkview Primary School</v>
          </cell>
          <cell r="D39">
            <v>2003</v>
          </cell>
          <cell r="F39" t="str">
            <v/>
          </cell>
          <cell r="G39">
            <v>0</v>
          </cell>
          <cell r="H39">
            <v>29640</v>
          </cell>
          <cell r="I39">
            <v>0</v>
          </cell>
          <cell r="J39">
            <v>0</v>
          </cell>
          <cell r="L39">
            <v>103634.22199646542</v>
          </cell>
          <cell r="M39">
            <v>29640</v>
          </cell>
          <cell r="N39">
            <v>31.2</v>
          </cell>
          <cell r="S39">
            <v>0</v>
          </cell>
          <cell r="T39">
            <v>0</v>
          </cell>
          <cell r="U39">
            <v>30</v>
          </cell>
          <cell r="Y39">
            <v>30</v>
          </cell>
          <cell r="Z39">
            <v>30</v>
          </cell>
          <cell r="AA39">
            <v>31</v>
          </cell>
          <cell r="AB39">
            <v>30</v>
          </cell>
          <cell r="AC39">
            <v>33</v>
          </cell>
          <cell r="AD39">
            <v>30</v>
          </cell>
          <cell r="AK39">
            <v>552816.7451866474</v>
          </cell>
          <cell r="AL39">
            <v>214</v>
          </cell>
          <cell r="BS39">
            <v>348.15600000000001</v>
          </cell>
          <cell r="BT39">
            <v>0</v>
          </cell>
          <cell r="BU39">
            <v>232.10400000000001</v>
          </cell>
          <cell r="BV39">
            <v>0</v>
          </cell>
          <cell r="BW39">
            <v>0</v>
          </cell>
          <cell r="BX39">
            <v>-7194.4679999999935</v>
          </cell>
          <cell r="BY39">
            <v>0</v>
          </cell>
          <cell r="BZ39">
            <v>0</v>
          </cell>
          <cell r="CA39">
            <v>0</v>
          </cell>
          <cell r="CB39">
            <v>0</v>
          </cell>
          <cell r="CC39">
            <v>0</v>
          </cell>
          <cell r="CD39">
            <v>0</v>
          </cell>
          <cell r="CE39">
            <v>-6614.2079999999933</v>
          </cell>
          <cell r="CF39">
            <v>11340.305565018814</v>
          </cell>
          <cell r="CI39">
            <v>0</v>
          </cell>
          <cell r="CJ39">
            <v>0</v>
          </cell>
          <cell r="CK39">
            <v>4343.5600000000004</v>
          </cell>
          <cell r="CL39">
            <v>1337.9701495360898</v>
          </cell>
          <cell r="CM39">
            <v>17021.835714554905</v>
          </cell>
          <cell r="CQ39">
            <v>1523.4619188921858</v>
          </cell>
          <cell r="CR39">
            <v>803.89</v>
          </cell>
          <cell r="CS39">
            <v>606.25578045377688</v>
          </cell>
          <cell r="CT39">
            <v>2933.6076993459628</v>
          </cell>
          <cell r="CU39">
            <v>8133.7716173479403</v>
          </cell>
          <cell r="CV39">
            <v>0</v>
          </cell>
          <cell r="CW39">
            <v>8133.7716173479403</v>
          </cell>
          <cell r="CX39">
            <v>0</v>
          </cell>
          <cell r="CZ39">
            <v>0</v>
          </cell>
          <cell r="DC39">
            <v>0</v>
          </cell>
          <cell r="DD39">
            <v>13818.083423658531</v>
          </cell>
          <cell r="DE39">
            <v>1591.6700189476753</v>
          </cell>
          <cell r="DF39">
            <v>856.11742475261747</v>
          </cell>
          <cell r="DG39">
            <v>0</v>
          </cell>
          <cell r="DH39">
            <v>0</v>
          </cell>
          <cell r="DI39">
            <v>16265.870867358824</v>
          </cell>
          <cell r="DJ39">
            <v>0</v>
          </cell>
          <cell r="DK39">
            <v>26335</v>
          </cell>
          <cell r="DL39">
            <v>1927.14</v>
          </cell>
          <cell r="DM39">
            <v>70073.495851086889</v>
          </cell>
          <cell r="DN39">
            <v>0</v>
          </cell>
          <cell r="DO39">
            <v>0</v>
          </cell>
          <cell r="DP39">
            <v>0</v>
          </cell>
          <cell r="DQ39">
            <v>98335.635851086889</v>
          </cell>
          <cell r="DR39">
            <v>0</v>
          </cell>
          <cell r="DS39">
            <v>0</v>
          </cell>
          <cell r="DT39">
            <v>0</v>
          </cell>
          <cell r="DU39">
            <v>0</v>
          </cell>
          <cell r="DV39">
            <v>0</v>
          </cell>
          <cell r="DW39">
            <v>0</v>
          </cell>
          <cell r="DX39">
            <v>0</v>
          </cell>
          <cell r="DY39">
            <v>1633.9197212005261</v>
          </cell>
          <cell r="DZ39">
            <v>0</v>
          </cell>
          <cell r="EA39">
            <v>0</v>
          </cell>
          <cell r="EB39">
            <v>1633.9197212005261</v>
          </cell>
          <cell r="EE39">
            <v>0</v>
          </cell>
          <cell r="EH39">
            <v>0</v>
          </cell>
          <cell r="EI39">
            <v>0</v>
          </cell>
          <cell r="EK39">
            <v>0</v>
          </cell>
          <cell r="EL39">
            <v>7258</v>
          </cell>
          <cell r="EM39">
            <v>0</v>
          </cell>
          <cell r="EO39">
            <v>7258</v>
          </cell>
          <cell r="EP39">
            <v>4006.0548974060221</v>
          </cell>
          <cell r="EQ39">
            <v>97020.013996465423</v>
          </cell>
          <cell r="ER39">
            <v>805425.45555141394</v>
          </cell>
          <cell r="ET39">
            <v>245.2</v>
          </cell>
          <cell r="EU39">
            <v>3284.7693945816231</v>
          </cell>
          <cell r="EV39" t="str">
            <v>No Variation Applied</v>
          </cell>
          <cell r="EW39">
            <v>9000</v>
          </cell>
          <cell r="EX39">
            <v>0</v>
          </cell>
          <cell r="EY39">
            <v>0</v>
          </cell>
          <cell r="EZ39">
            <v>35977.345131790782</v>
          </cell>
        </row>
        <row r="40">
          <cell r="C40" t="str">
            <v>Beaufort Community Primary School</v>
          </cell>
          <cell r="D40">
            <v>2004</v>
          </cell>
          <cell r="F40" t="str">
            <v/>
          </cell>
          <cell r="G40">
            <v>0</v>
          </cell>
          <cell r="H40">
            <v>34620</v>
          </cell>
          <cell r="I40">
            <v>0</v>
          </cell>
          <cell r="J40">
            <v>0</v>
          </cell>
          <cell r="L40">
            <v>121046.44957886751</v>
          </cell>
          <cell r="M40">
            <v>34620</v>
          </cell>
          <cell r="N40">
            <v>36.442105263157892</v>
          </cell>
          <cell r="S40">
            <v>0</v>
          </cell>
          <cell r="T40">
            <v>0</v>
          </cell>
          <cell r="U40">
            <v>44</v>
          </cell>
          <cell r="Y40">
            <v>41</v>
          </cell>
          <cell r="Z40">
            <v>31</v>
          </cell>
          <cell r="AA40">
            <v>30</v>
          </cell>
          <cell r="AB40">
            <v>32</v>
          </cell>
          <cell r="AC40">
            <v>32</v>
          </cell>
          <cell r="AD40">
            <v>29</v>
          </cell>
          <cell r="AK40">
            <v>620346.31013088557</v>
          </cell>
          <cell r="AL40">
            <v>239</v>
          </cell>
          <cell r="BS40">
            <v>17175.696</v>
          </cell>
          <cell r="BT40">
            <v>0</v>
          </cell>
          <cell r="BU40">
            <v>116.05200000000001</v>
          </cell>
          <cell r="BV40">
            <v>0</v>
          </cell>
          <cell r="BW40">
            <v>0</v>
          </cell>
          <cell r="BX40">
            <v>2150.1065999999992</v>
          </cell>
          <cell r="BY40">
            <v>0</v>
          </cell>
          <cell r="BZ40">
            <v>3011.5493999999999</v>
          </cell>
          <cell r="CA40">
            <v>0</v>
          </cell>
          <cell r="CB40">
            <v>0</v>
          </cell>
          <cell r="CC40">
            <v>0</v>
          </cell>
          <cell r="CD40">
            <v>0</v>
          </cell>
          <cell r="CE40">
            <v>22453.403999999999</v>
          </cell>
          <cell r="CF40">
            <v>22680.611130037629</v>
          </cell>
          <cell r="CI40">
            <v>0</v>
          </cell>
          <cell r="CJ40">
            <v>0</v>
          </cell>
          <cell r="CK40">
            <v>4850.9799999999996</v>
          </cell>
          <cell r="CL40">
            <v>1488.9847530423201</v>
          </cell>
          <cell r="CM40">
            <v>29020.57588307995</v>
          </cell>
          <cell r="CQ40">
            <v>8379.0405539070216</v>
          </cell>
          <cell r="CR40">
            <v>1406.8</v>
          </cell>
          <cell r="CS40">
            <v>2829.1936421176256</v>
          </cell>
          <cell r="CT40">
            <v>12615.034196024646</v>
          </cell>
          <cell r="CU40">
            <v>0</v>
          </cell>
          <cell r="CV40">
            <v>0</v>
          </cell>
          <cell r="CW40">
            <v>0</v>
          </cell>
          <cell r="CX40">
            <v>0</v>
          </cell>
          <cell r="CZ40">
            <v>0</v>
          </cell>
          <cell r="DC40">
            <v>0</v>
          </cell>
          <cell r="DD40">
            <v>176965.84960928748</v>
          </cell>
          <cell r="DE40">
            <v>136883.62162950006</v>
          </cell>
          <cell r="DF40">
            <v>17122.348495052349</v>
          </cell>
          <cell r="DG40">
            <v>0</v>
          </cell>
          <cell r="DH40">
            <v>0</v>
          </cell>
          <cell r="DI40">
            <v>330971.81973383989</v>
          </cell>
          <cell r="DJ40">
            <v>0</v>
          </cell>
          <cell r="DK40">
            <v>14427</v>
          </cell>
          <cell r="DL40">
            <v>17735.38</v>
          </cell>
          <cell r="DM40">
            <v>70073.495851086889</v>
          </cell>
          <cell r="DN40">
            <v>0</v>
          </cell>
          <cell r="DO40">
            <v>0</v>
          </cell>
          <cell r="DP40">
            <v>0</v>
          </cell>
          <cell r="DQ40">
            <v>102235.87585108689</v>
          </cell>
          <cell r="DR40">
            <v>0</v>
          </cell>
          <cell r="DS40">
            <v>0</v>
          </cell>
          <cell r="DT40">
            <v>0</v>
          </cell>
          <cell r="DU40">
            <v>0</v>
          </cell>
          <cell r="DV40">
            <v>0</v>
          </cell>
          <cell r="DW40">
            <v>0</v>
          </cell>
          <cell r="DX40">
            <v>0</v>
          </cell>
          <cell r="DY40">
            <v>7516.0307175224198</v>
          </cell>
          <cell r="DZ40">
            <v>0</v>
          </cell>
          <cell r="EA40">
            <v>0</v>
          </cell>
          <cell r="EB40">
            <v>7516.0307175224198</v>
          </cell>
          <cell r="EE40">
            <v>0</v>
          </cell>
          <cell r="EH40">
            <v>0</v>
          </cell>
          <cell r="EI40">
            <v>0</v>
          </cell>
          <cell r="EK40">
            <v>0</v>
          </cell>
          <cell r="EL40">
            <v>0</v>
          </cell>
          <cell r="EM40">
            <v>0</v>
          </cell>
          <cell r="EO40">
            <v>0</v>
          </cell>
          <cell r="EP40">
            <v>131618.87808295595</v>
          </cell>
          <cell r="EQ40">
            <v>143499.85357886751</v>
          </cell>
          <cell r="ER40">
            <v>1377824.3781742626</v>
          </cell>
          <cell r="ET40">
            <v>275.44210526315788</v>
          </cell>
          <cell r="EU40">
            <v>5002.228605745976</v>
          </cell>
          <cell r="EV40" t="str">
            <v>No Variation Applied</v>
          </cell>
          <cell r="EW40">
            <v>93000</v>
          </cell>
          <cell r="EX40">
            <v>0</v>
          </cell>
          <cell r="EY40">
            <v>0</v>
          </cell>
          <cell r="EZ40">
            <v>224542.26558511236</v>
          </cell>
        </row>
        <row r="41">
          <cell r="C41" t="str">
            <v>Ashgate Primary School</v>
          </cell>
          <cell r="D41">
            <v>2005</v>
          </cell>
          <cell r="F41" t="str">
            <v/>
          </cell>
          <cell r="G41">
            <v>0</v>
          </cell>
          <cell r="H41">
            <v>0</v>
          </cell>
          <cell r="I41">
            <v>0</v>
          </cell>
          <cell r="J41">
            <v>0</v>
          </cell>
          <cell r="L41">
            <v>0</v>
          </cell>
          <cell r="M41">
            <v>0</v>
          </cell>
          <cell r="N41">
            <v>0</v>
          </cell>
          <cell r="S41">
            <v>0</v>
          </cell>
          <cell r="T41">
            <v>0</v>
          </cell>
          <cell r="U41">
            <v>44</v>
          </cell>
          <cell r="Y41">
            <v>41</v>
          </cell>
          <cell r="Z41">
            <v>42</v>
          </cell>
          <cell r="AA41">
            <v>39</v>
          </cell>
          <cell r="AB41">
            <v>40</v>
          </cell>
          <cell r="AC41">
            <v>38</v>
          </cell>
          <cell r="AD41">
            <v>27</v>
          </cell>
          <cell r="AK41">
            <v>701255.30030860484</v>
          </cell>
          <cell r="AL41">
            <v>271</v>
          </cell>
          <cell r="BS41">
            <v>0</v>
          </cell>
          <cell r="BT41">
            <v>0</v>
          </cell>
          <cell r="BU41">
            <v>0</v>
          </cell>
          <cell r="BV41">
            <v>0</v>
          </cell>
          <cell r="BW41">
            <v>0</v>
          </cell>
          <cell r="BX41">
            <v>0</v>
          </cell>
          <cell r="BY41">
            <v>0</v>
          </cell>
          <cell r="BZ41">
            <v>0</v>
          </cell>
          <cell r="CA41">
            <v>0</v>
          </cell>
          <cell r="CB41">
            <v>0</v>
          </cell>
          <cell r="CC41">
            <v>0</v>
          </cell>
          <cell r="CD41">
            <v>0</v>
          </cell>
          <cell r="CE41">
            <v>0</v>
          </cell>
          <cell r="CF41">
            <v>22680.611130037629</v>
          </cell>
          <cell r="CI41">
            <v>0</v>
          </cell>
          <cell r="CJ41">
            <v>0</v>
          </cell>
          <cell r="CK41">
            <v>5500.49</v>
          </cell>
          <cell r="CL41">
            <v>2245.0196470289243</v>
          </cell>
          <cell r="CM41">
            <v>30426.12077706655</v>
          </cell>
          <cell r="CQ41">
            <v>9140.7715133531146</v>
          </cell>
          <cell r="CR41">
            <v>8038.86</v>
          </cell>
          <cell r="CS41">
            <v>5658.3872842352512</v>
          </cell>
          <cell r="CT41">
            <v>22838.018797588364</v>
          </cell>
          <cell r="CU41">
            <v>0</v>
          </cell>
          <cell r="CV41">
            <v>0</v>
          </cell>
          <cell r="CW41">
            <v>0</v>
          </cell>
          <cell r="CX41">
            <v>0</v>
          </cell>
          <cell r="CZ41">
            <v>0</v>
          </cell>
          <cell r="DC41">
            <v>0</v>
          </cell>
          <cell r="DD41">
            <v>150671.6737881742</v>
          </cell>
          <cell r="DE41">
            <v>95500.201136860516</v>
          </cell>
          <cell r="DF41">
            <v>6848.9393980209397</v>
          </cell>
          <cell r="DG41">
            <v>0</v>
          </cell>
          <cell r="DH41">
            <v>0</v>
          </cell>
          <cell r="DI41">
            <v>253020.81432305565</v>
          </cell>
          <cell r="DJ41">
            <v>0</v>
          </cell>
          <cell r="DK41">
            <v>14427</v>
          </cell>
          <cell r="DL41">
            <v>8293.5400000000009</v>
          </cell>
          <cell r="DM41">
            <v>70073.495851086889</v>
          </cell>
          <cell r="DN41">
            <v>0</v>
          </cell>
          <cell r="DO41">
            <v>0</v>
          </cell>
          <cell r="DP41">
            <v>0</v>
          </cell>
          <cell r="DQ41">
            <v>92794.035851086897</v>
          </cell>
          <cell r="DR41">
            <v>0</v>
          </cell>
          <cell r="DS41">
            <v>0</v>
          </cell>
          <cell r="DT41">
            <v>0</v>
          </cell>
          <cell r="DU41">
            <v>0</v>
          </cell>
          <cell r="DV41">
            <v>0</v>
          </cell>
          <cell r="DW41">
            <v>0</v>
          </cell>
          <cell r="DX41">
            <v>0</v>
          </cell>
          <cell r="DY41">
            <v>6208.8949405619987</v>
          </cell>
          <cell r="DZ41">
            <v>0</v>
          </cell>
          <cell r="EA41">
            <v>0</v>
          </cell>
          <cell r="EB41">
            <v>6208.8949405619987</v>
          </cell>
          <cell r="EE41">
            <v>0</v>
          </cell>
          <cell r="EH41">
            <v>0</v>
          </cell>
          <cell r="EI41">
            <v>0</v>
          </cell>
          <cell r="EK41">
            <v>0</v>
          </cell>
          <cell r="EL41">
            <v>0</v>
          </cell>
          <cell r="EM41">
            <v>0</v>
          </cell>
          <cell r="EO41">
            <v>0</v>
          </cell>
          <cell r="EP41">
            <v>0</v>
          </cell>
          <cell r="EQ41">
            <v>0</v>
          </cell>
          <cell r="ER41">
            <v>1106543.1849979644</v>
          </cell>
          <cell r="ET41">
            <v>271</v>
          </cell>
          <cell r="EU41">
            <v>4083.1851844943335</v>
          </cell>
          <cell r="EV41" t="str">
            <v>No Variation Applied</v>
          </cell>
          <cell r="EW41">
            <v>85800</v>
          </cell>
          <cell r="EX41">
            <v>0</v>
          </cell>
          <cell r="EY41">
            <v>0</v>
          </cell>
          <cell r="EZ41">
            <v>192275.93961221055</v>
          </cell>
        </row>
        <row r="42">
          <cell r="C42" t="str">
            <v>Homefields Primary School</v>
          </cell>
          <cell r="D42">
            <v>2006</v>
          </cell>
          <cell r="F42" t="str">
            <v/>
          </cell>
          <cell r="G42">
            <v>0</v>
          </cell>
          <cell r="H42">
            <v>27144</v>
          </cell>
          <cell r="I42">
            <v>0</v>
          </cell>
          <cell r="J42">
            <v>0</v>
          </cell>
          <cell r="L42">
            <v>94907.129617815706</v>
          </cell>
          <cell r="M42">
            <v>27144</v>
          </cell>
          <cell r="N42">
            <v>28.572631578947369</v>
          </cell>
          <cell r="S42">
            <v>0</v>
          </cell>
          <cell r="T42">
            <v>0</v>
          </cell>
          <cell r="U42">
            <v>31</v>
          </cell>
          <cell r="Y42">
            <v>30</v>
          </cell>
          <cell r="Z42">
            <v>30</v>
          </cell>
          <cell r="AA42">
            <v>32</v>
          </cell>
          <cell r="AB42">
            <v>32</v>
          </cell>
          <cell r="AC42">
            <v>33</v>
          </cell>
          <cell r="AD42">
            <v>32</v>
          </cell>
          <cell r="AK42">
            <v>568570.04040945694</v>
          </cell>
          <cell r="AL42">
            <v>220</v>
          </cell>
          <cell r="BS42">
            <v>580.26</v>
          </cell>
          <cell r="BT42">
            <v>0</v>
          </cell>
          <cell r="BU42">
            <v>0</v>
          </cell>
          <cell r="BV42">
            <v>0</v>
          </cell>
          <cell r="BW42">
            <v>0</v>
          </cell>
          <cell r="BX42">
            <v>2490.4785858862451</v>
          </cell>
          <cell r="BY42">
            <v>0</v>
          </cell>
          <cell r="BZ42">
            <v>0</v>
          </cell>
          <cell r="CA42">
            <v>0</v>
          </cell>
          <cell r="CB42">
            <v>0</v>
          </cell>
          <cell r="CC42">
            <v>0</v>
          </cell>
          <cell r="CD42">
            <v>0</v>
          </cell>
          <cell r="CE42">
            <v>3070.7385858862453</v>
          </cell>
          <cell r="CF42">
            <v>11340.305565018814</v>
          </cell>
          <cell r="CI42">
            <v>0</v>
          </cell>
          <cell r="CJ42">
            <v>0</v>
          </cell>
          <cell r="CK42">
            <v>4465.34</v>
          </cell>
          <cell r="CL42">
            <v>3608.9604608622635</v>
          </cell>
          <cell r="CM42">
            <v>19414.606025881079</v>
          </cell>
          <cell r="CQ42">
            <v>4570.3857566765573</v>
          </cell>
          <cell r="CR42">
            <v>3416.51</v>
          </cell>
          <cell r="CS42">
            <v>1010.4263007562949</v>
          </cell>
          <cell r="CT42">
            <v>8997.3220574328516</v>
          </cell>
          <cell r="CU42">
            <v>8634.3114091847365</v>
          </cell>
          <cell r="CV42">
            <v>0</v>
          </cell>
          <cell r="CW42">
            <v>8634.3114091847365</v>
          </cell>
          <cell r="CX42">
            <v>0</v>
          </cell>
          <cell r="CZ42">
            <v>0</v>
          </cell>
          <cell r="DC42">
            <v>0</v>
          </cell>
          <cell r="DD42">
            <v>17003.468716625706</v>
          </cell>
          <cell r="DE42">
            <v>8867.8758198513333</v>
          </cell>
          <cell r="DF42">
            <v>4280.5871237630872</v>
          </cell>
          <cell r="DG42">
            <v>0</v>
          </cell>
          <cell r="DH42">
            <v>0</v>
          </cell>
          <cell r="DI42">
            <v>30151.931660240123</v>
          </cell>
          <cell r="DJ42">
            <v>0</v>
          </cell>
          <cell r="DK42">
            <v>26793</v>
          </cell>
          <cell r="DL42">
            <v>1819.74</v>
          </cell>
          <cell r="DM42">
            <v>70073.495851086889</v>
          </cell>
          <cell r="DN42">
            <v>0</v>
          </cell>
          <cell r="DO42">
            <v>0</v>
          </cell>
          <cell r="DP42">
            <v>0</v>
          </cell>
          <cell r="DQ42">
            <v>98686.235851086894</v>
          </cell>
          <cell r="DR42">
            <v>0</v>
          </cell>
          <cell r="DS42">
            <v>0</v>
          </cell>
          <cell r="DT42">
            <v>0</v>
          </cell>
          <cell r="DU42">
            <v>0</v>
          </cell>
          <cell r="DV42">
            <v>0</v>
          </cell>
          <cell r="DW42">
            <v>0</v>
          </cell>
          <cell r="DX42">
            <v>0</v>
          </cell>
          <cell r="DY42">
            <v>2941.0554981609466</v>
          </cell>
          <cell r="DZ42">
            <v>0</v>
          </cell>
          <cell r="EA42">
            <v>0</v>
          </cell>
          <cell r="EB42">
            <v>2941.0554981609466</v>
          </cell>
          <cell r="EE42">
            <v>0</v>
          </cell>
          <cell r="EH42">
            <v>0</v>
          </cell>
          <cell r="EI42">
            <v>0</v>
          </cell>
          <cell r="EK42">
            <v>0</v>
          </cell>
          <cell r="EL42">
            <v>0</v>
          </cell>
          <cell r="EM42">
            <v>0</v>
          </cell>
          <cell r="EO42">
            <v>0</v>
          </cell>
          <cell r="EP42">
            <v>37617.409550808487</v>
          </cell>
          <cell r="EQ42">
            <v>97977.868203701946</v>
          </cell>
          <cell r="ER42">
            <v>872990.78066595411</v>
          </cell>
          <cell r="ET42">
            <v>248.57263157894738</v>
          </cell>
          <cell r="EU42">
            <v>3512.0148791951369</v>
          </cell>
          <cell r="EV42" t="str">
            <v>No Variation Applied</v>
          </cell>
          <cell r="EW42">
            <v>10600</v>
          </cell>
          <cell r="EX42">
            <v>0</v>
          </cell>
          <cell r="EY42">
            <v>0</v>
          </cell>
          <cell r="EZ42">
            <v>50073.978998367005</v>
          </cell>
        </row>
        <row r="43">
          <cell r="C43" t="str">
            <v>Allenton Community Primary School</v>
          </cell>
          <cell r="D43">
            <v>2400</v>
          </cell>
          <cell r="F43" t="str">
            <v/>
          </cell>
          <cell r="G43">
            <v>0</v>
          </cell>
          <cell r="H43">
            <v>0</v>
          </cell>
          <cell r="I43">
            <v>0</v>
          </cell>
          <cell r="J43">
            <v>0</v>
          </cell>
          <cell r="L43">
            <v>0</v>
          </cell>
          <cell r="M43">
            <v>0</v>
          </cell>
          <cell r="N43">
            <v>0</v>
          </cell>
          <cell r="S43">
            <v>0</v>
          </cell>
          <cell r="T43">
            <v>0</v>
          </cell>
          <cell r="U43">
            <v>50</v>
          </cell>
          <cell r="Y43">
            <v>40</v>
          </cell>
          <cell r="Z43">
            <v>35</v>
          </cell>
          <cell r="AA43">
            <v>44</v>
          </cell>
          <cell r="AB43">
            <v>31</v>
          </cell>
          <cell r="AC43">
            <v>32</v>
          </cell>
          <cell r="AD43">
            <v>25</v>
          </cell>
          <cell r="AK43">
            <v>668261.70425534295</v>
          </cell>
          <cell r="AL43">
            <v>257</v>
          </cell>
          <cell r="BS43">
            <v>0</v>
          </cell>
          <cell r="BT43">
            <v>0</v>
          </cell>
          <cell r="BU43">
            <v>0</v>
          </cell>
          <cell r="BV43">
            <v>0</v>
          </cell>
          <cell r="BW43">
            <v>0</v>
          </cell>
          <cell r="BX43">
            <v>0</v>
          </cell>
          <cell r="BY43">
            <v>0</v>
          </cell>
          <cell r="BZ43">
            <v>0</v>
          </cell>
          <cell r="CA43">
            <v>0</v>
          </cell>
          <cell r="CB43">
            <v>0</v>
          </cell>
          <cell r="CC43">
            <v>0</v>
          </cell>
          <cell r="CD43">
            <v>0</v>
          </cell>
          <cell r="CE43">
            <v>0</v>
          </cell>
          <cell r="CF43">
            <v>22680.611130037629</v>
          </cell>
          <cell r="CI43">
            <v>0</v>
          </cell>
          <cell r="CJ43">
            <v>0</v>
          </cell>
          <cell r="CK43">
            <v>5216.33</v>
          </cell>
          <cell r="CL43">
            <v>1932.7304244916245</v>
          </cell>
          <cell r="CM43">
            <v>29829.671554529254</v>
          </cell>
          <cell r="CQ43">
            <v>9140.7715133531146</v>
          </cell>
          <cell r="CR43">
            <v>9043.7099999999991</v>
          </cell>
          <cell r="CS43">
            <v>5052.1315037814747</v>
          </cell>
          <cell r="CT43">
            <v>23236.61301713459</v>
          </cell>
          <cell r="CU43">
            <v>0</v>
          </cell>
          <cell r="CV43">
            <v>0</v>
          </cell>
          <cell r="CW43">
            <v>0</v>
          </cell>
          <cell r="CX43">
            <v>0</v>
          </cell>
          <cell r="CZ43">
            <v>0</v>
          </cell>
          <cell r="DC43">
            <v>0</v>
          </cell>
          <cell r="DD43">
            <v>212432.75530181554</v>
          </cell>
          <cell r="DE43">
            <v>169853.92916484477</v>
          </cell>
          <cell r="DF43">
            <v>11985.643946536644</v>
          </cell>
          <cell r="DG43">
            <v>0</v>
          </cell>
          <cell r="DH43">
            <v>0</v>
          </cell>
          <cell r="DI43">
            <v>394272.32841319696</v>
          </cell>
          <cell r="DJ43">
            <v>0</v>
          </cell>
          <cell r="DK43">
            <v>27251</v>
          </cell>
          <cell r="DL43">
            <v>4765.08</v>
          </cell>
          <cell r="DM43">
            <v>70073.495851086889</v>
          </cell>
          <cell r="DN43">
            <v>0</v>
          </cell>
          <cell r="DO43">
            <v>0</v>
          </cell>
          <cell r="DP43">
            <v>0</v>
          </cell>
          <cell r="DQ43">
            <v>102089.57585108689</v>
          </cell>
          <cell r="DR43">
            <v>0</v>
          </cell>
          <cell r="DS43">
            <v>0</v>
          </cell>
          <cell r="DT43">
            <v>0</v>
          </cell>
          <cell r="DU43">
            <v>0</v>
          </cell>
          <cell r="DV43">
            <v>0</v>
          </cell>
          <cell r="DW43">
            <v>0</v>
          </cell>
          <cell r="DX43">
            <v>0</v>
          </cell>
          <cell r="DY43">
            <v>5555.3270520817887</v>
          </cell>
          <cell r="DZ43">
            <v>0</v>
          </cell>
          <cell r="EA43">
            <v>0</v>
          </cell>
          <cell r="EB43">
            <v>5555.3270520817887</v>
          </cell>
          <cell r="EE43">
            <v>0</v>
          </cell>
          <cell r="EH43">
            <v>0</v>
          </cell>
          <cell r="EI43">
            <v>0</v>
          </cell>
          <cell r="EK43">
            <v>0</v>
          </cell>
          <cell r="EL43">
            <v>0</v>
          </cell>
          <cell r="EM43">
            <v>0</v>
          </cell>
          <cell r="EO43">
            <v>0</v>
          </cell>
          <cell r="EP43">
            <v>0</v>
          </cell>
          <cell r="EQ43">
            <v>0</v>
          </cell>
          <cell r="ER43">
            <v>1223245.2201433724</v>
          </cell>
          <cell r="ET43">
            <v>257</v>
          </cell>
          <cell r="EU43">
            <v>4759.7090277952238</v>
          </cell>
          <cell r="EV43" t="str">
            <v>No Variation Applied</v>
          </cell>
          <cell r="EW43">
            <v>102000</v>
          </cell>
          <cell r="EX43">
            <v>0</v>
          </cell>
          <cell r="EY43">
            <v>0</v>
          </cell>
          <cell r="EZ43">
            <v>258937.79302718112</v>
          </cell>
        </row>
        <row r="44">
          <cell r="C44" t="str">
            <v>Becket Primary School</v>
          </cell>
          <cell r="D44">
            <v>2405</v>
          </cell>
          <cell r="F44" t="str">
            <v/>
          </cell>
          <cell r="G44">
            <v>0</v>
          </cell>
          <cell r="H44">
            <v>23310</v>
          </cell>
          <cell r="I44">
            <v>0</v>
          </cell>
          <cell r="J44">
            <v>0</v>
          </cell>
          <cell r="L44">
            <v>81501.812238110972</v>
          </cell>
          <cell r="M44">
            <v>23310</v>
          </cell>
          <cell r="N44">
            <v>24.536842105263158</v>
          </cell>
          <cell r="S44">
            <v>0</v>
          </cell>
          <cell r="T44">
            <v>0</v>
          </cell>
          <cell r="U44">
            <v>30</v>
          </cell>
          <cell r="Y44">
            <v>29</v>
          </cell>
          <cell r="Z44">
            <v>28</v>
          </cell>
          <cell r="AA44">
            <v>29</v>
          </cell>
          <cell r="AB44">
            <v>22</v>
          </cell>
          <cell r="AC44">
            <v>24</v>
          </cell>
          <cell r="AD44">
            <v>21</v>
          </cell>
          <cell r="AK44">
            <v>473525.26908745419</v>
          </cell>
          <cell r="AL44">
            <v>183</v>
          </cell>
          <cell r="BS44">
            <v>10560.732</v>
          </cell>
          <cell r="BT44">
            <v>0</v>
          </cell>
          <cell r="BU44">
            <v>1856.8320000000001</v>
          </cell>
          <cell r="BV44">
            <v>0</v>
          </cell>
          <cell r="BW44">
            <v>0</v>
          </cell>
          <cell r="BX44">
            <v>-12455.373399999997</v>
          </cell>
          <cell r="BY44">
            <v>0</v>
          </cell>
          <cell r="BZ44">
            <v>3011.5493999999999</v>
          </cell>
          <cell r="CA44">
            <v>0</v>
          </cell>
          <cell r="CB44">
            <v>0</v>
          </cell>
          <cell r="CC44">
            <v>0</v>
          </cell>
          <cell r="CD44">
            <v>0</v>
          </cell>
          <cell r="CE44">
            <v>2973.7400000000034</v>
          </cell>
          <cell r="CF44">
            <v>11340.305565018814</v>
          </cell>
          <cell r="CI44">
            <v>0</v>
          </cell>
          <cell r="CJ44">
            <v>0</v>
          </cell>
          <cell r="CK44">
            <v>3714.35</v>
          </cell>
          <cell r="CL44">
            <v>1508.222282151394</v>
          </cell>
          <cell r="CM44">
            <v>16562.87784717021</v>
          </cell>
          <cell r="CQ44">
            <v>10664.233432245301</v>
          </cell>
          <cell r="CR44">
            <v>6833.03</v>
          </cell>
          <cell r="CS44">
            <v>5456.3020240839924</v>
          </cell>
          <cell r="CT44">
            <v>22953.565456329292</v>
          </cell>
          <cell r="CU44">
            <v>22524.290632655837</v>
          </cell>
          <cell r="CV44">
            <v>0</v>
          </cell>
          <cell r="CW44">
            <v>22524.290632655837</v>
          </cell>
          <cell r="CX44">
            <v>100923.30180935774</v>
          </cell>
          <cell r="CZ44">
            <v>100923.30180935774</v>
          </cell>
          <cell r="DC44">
            <v>0</v>
          </cell>
          <cell r="DD44">
            <v>124982.13128655929</v>
          </cell>
          <cell r="DE44">
            <v>85495.418160617977</v>
          </cell>
          <cell r="DF44">
            <v>14553.996220794497</v>
          </cell>
          <cell r="DG44">
            <v>0</v>
          </cell>
          <cell r="DH44">
            <v>0</v>
          </cell>
          <cell r="DI44">
            <v>225031.54566797178</v>
          </cell>
          <cell r="DJ44">
            <v>0</v>
          </cell>
          <cell r="DK44">
            <v>12595</v>
          </cell>
          <cell r="DL44">
            <v>4311.09</v>
          </cell>
          <cell r="DM44">
            <v>70073.495851086889</v>
          </cell>
          <cell r="DN44">
            <v>0</v>
          </cell>
          <cell r="DO44">
            <v>0</v>
          </cell>
          <cell r="DP44">
            <v>0</v>
          </cell>
          <cell r="DQ44">
            <v>86979.585851086886</v>
          </cell>
          <cell r="DR44">
            <v>0</v>
          </cell>
          <cell r="DS44">
            <v>0</v>
          </cell>
          <cell r="DT44">
            <v>0</v>
          </cell>
          <cell r="DU44">
            <v>0</v>
          </cell>
          <cell r="DV44">
            <v>0</v>
          </cell>
          <cell r="DW44">
            <v>0</v>
          </cell>
          <cell r="DX44">
            <v>0</v>
          </cell>
          <cell r="DY44">
            <v>7842.8146617625243</v>
          </cell>
          <cell r="DZ44">
            <v>0</v>
          </cell>
          <cell r="EA44">
            <v>0</v>
          </cell>
          <cell r="EB44">
            <v>7842.8146617625243</v>
          </cell>
          <cell r="EE44">
            <v>0</v>
          </cell>
          <cell r="EH44">
            <v>0</v>
          </cell>
          <cell r="EI44">
            <v>0</v>
          </cell>
          <cell r="EK44">
            <v>0</v>
          </cell>
          <cell r="EL44">
            <v>9260</v>
          </cell>
          <cell r="EM44">
            <v>0</v>
          </cell>
          <cell r="EO44">
            <v>9260</v>
          </cell>
          <cell r="EP44">
            <v>11367.63220066228</v>
          </cell>
          <cell r="EQ44">
            <v>84475.552238110977</v>
          </cell>
          <cell r="ER44">
            <v>1061446.4354525616</v>
          </cell>
          <cell r="ET44">
            <v>207.53684210526316</v>
          </cell>
          <cell r="EU44">
            <v>5114.4964175285731</v>
          </cell>
          <cell r="EV44" t="str">
            <v>No Variation Applied</v>
          </cell>
          <cell r="EW44">
            <v>63500</v>
          </cell>
          <cell r="EX44">
            <v>0</v>
          </cell>
          <cell r="EY44">
            <v>0</v>
          </cell>
          <cell r="EZ44">
            <v>300867.91521789314</v>
          </cell>
        </row>
        <row r="45">
          <cell r="C45" t="str">
            <v>Boulton Primary School</v>
          </cell>
          <cell r="D45">
            <v>2407</v>
          </cell>
          <cell r="E45" t="str">
            <v>Converter</v>
          </cell>
          <cell r="F45">
            <v>41153</v>
          </cell>
          <cell r="G45">
            <v>0</v>
          </cell>
          <cell r="H45">
            <v>22830</v>
          </cell>
          <cell r="I45">
            <v>0</v>
          </cell>
          <cell r="J45">
            <v>0</v>
          </cell>
          <cell r="L45">
            <v>79823.525242216798</v>
          </cell>
          <cell r="M45">
            <v>22830</v>
          </cell>
          <cell r="N45">
            <v>24.03157894736842</v>
          </cell>
          <cell r="S45">
            <v>0</v>
          </cell>
          <cell r="T45">
            <v>0</v>
          </cell>
          <cell r="U45">
            <v>37</v>
          </cell>
          <cell r="Y45">
            <v>51</v>
          </cell>
          <cell r="Z45">
            <v>32</v>
          </cell>
          <cell r="AA45">
            <v>39</v>
          </cell>
          <cell r="AB45">
            <v>29</v>
          </cell>
          <cell r="AC45">
            <v>31</v>
          </cell>
          <cell r="AD45">
            <v>25</v>
          </cell>
          <cell r="AK45">
            <v>629521.78068105795</v>
          </cell>
          <cell r="AL45">
            <v>244</v>
          </cell>
          <cell r="BS45">
            <v>13229.928</v>
          </cell>
          <cell r="BT45">
            <v>0</v>
          </cell>
          <cell r="BU45">
            <v>812.36400000000003</v>
          </cell>
          <cell r="BV45">
            <v>0</v>
          </cell>
          <cell r="BW45">
            <v>0</v>
          </cell>
          <cell r="BX45">
            <v>5100.8629999999976</v>
          </cell>
          <cell r="BY45">
            <v>0</v>
          </cell>
          <cell r="BZ45">
            <v>5019.2489999999998</v>
          </cell>
          <cell r="CA45">
            <v>0</v>
          </cell>
          <cell r="CB45">
            <v>0</v>
          </cell>
          <cell r="CC45">
            <v>0</v>
          </cell>
          <cell r="CD45">
            <v>0</v>
          </cell>
          <cell r="CE45">
            <v>24162.403999999999</v>
          </cell>
          <cell r="CF45">
            <v>22680.611130037629</v>
          </cell>
          <cell r="CI45">
            <v>0</v>
          </cell>
          <cell r="CJ45">
            <v>0</v>
          </cell>
          <cell r="CK45">
            <v>4952.47</v>
          </cell>
          <cell r="CL45">
            <v>927.2489030573621</v>
          </cell>
          <cell r="CM45">
            <v>28560.330033094993</v>
          </cell>
          <cell r="CQ45">
            <v>6855.5786350148364</v>
          </cell>
          <cell r="CR45">
            <v>6833.03</v>
          </cell>
          <cell r="CS45">
            <v>5658.3872842352512</v>
          </cell>
          <cell r="CT45">
            <v>19346.995919250086</v>
          </cell>
          <cell r="CU45">
            <v>11137.010368368719</v>
          </cell>
          <cell r="CV45">
            <v>9009.7162530623336</v>
          </cell>
          <cell r="CW45">
            <v>20146.726621431051</v>
          </cell>
          <cell r="CX45">
            <v>0</v>
          </cell>
          <cell r="CZ45">
            <v>0</v>
          </cell>
          <cell r="DC45">
            <v>0</v>
          </cell>
          <cell r="DD45">
            <v>159121.79310701767</v>
          </cell>
          <cell r="DE45">
            <v>131653.84871010057</v>
          </cell>
          <cell r="DF45">
            <v>23115.17046832067</v>
          </cell>
          <cell r="DG45">
            <v>0</v>
          </cell>
          <cell r="DH45">
            <v>0</v>
          </cell>
          <cell r="DI45">
            <v>313890.81228543894</v>
          </cell>
          <cell r="DJ45">
            <v>0</v>
          </cell>
          <cell r="DK45">
            <v>14240.29</v>
          </cell>
          <cell r="DL45">
            <v>9409.0300000000007</v>
          </cell>
          <cell r="DM45">
            <v>70073.495851086889</v>
          </cell>
          <cell r="DN45">
            <v>0</v>
          </cell>
          <cell r="DO45">
            <v>0</v>
          </cell>
          <cell r="DP45">
            <v>0</v>
          </cell>
          <cell r="DQ45">
            <v>93722.815851086896</v>
          </cell>
          <cell r="DR45">
            <v>0</v>
          </cell>
          <cell r="DS45">
            <v>0</v>
          </cell>
          <cell r="DT45">
            <v>0</v>
          </cell>
          <cell r="DU45">
            <v>0</v>
          </cell>
          <cell r="DV45">
            <v>0</v>
          </cell>
          <cell r="DW45">
            <v>0</v>
          </cell>
          <cell r="DX45">
            <v>0</v>
          </cell>
          <cell r="DY45">
            <v>12744.573825364103</v>
          </cell>
          <cell r="DZ45">
            <v>0</v>
          </cell>
          <cell r="EA45">
            <v>0</v>
          </cell>
          <cell r="EB45">
            <v>12744.573825364103</v>
          </cell>
          <cell r="EE45">
            <v>0</v>
          </cell>
          <cell r="EH45">
            <v>0</v>
          </cell>
          <cell r="EI45">
            <v>0</v>
          </cell>
          <cell r="EK45">
            <v>0</v>
          </cell>
          <cell r="EL45">
            <v>13264</v>
          </cell>
          <cell r="EM45">
            <v>0</v>
          </cell>
          <cell r="EO45">
            <v>13264</v>
          </cell>
          <cell r="EP45">
            <v>0</v>
          </cell>
          <cell r="EQ45">
            <v>103985.92924221679</v>
          </cell>
          <cell r="ER45">
            <v>1235183.9644589408</v>
          </cell>
          <cell r="ET45">
            <v>268.03157894736842</v>
          </cell>
          <cell r="EU45">
            <v>4608.3523788869879</v>
          </cell>
          <cell r="EV45" t="str">
            <v>No Variation Applied</v>
          </cell>
          <cell r="EW45">
            <v>82600</v>
          </cell>
          <cell r="EX45">
            <v>0</v>
          </cell>
          <cell r="EY45">
            <v>0</v>
          </cell>
          <cell r="EZ45">
            <v>244882.80002317223</v>
          </cell>
        </row>
        <row r="46">
          <cell r="C46" t="str">
            <v>Dale Community Primary School</v>
          </cell>
          <cell r="D46">
            <v>2409</v>
          </cell>
          <cell r="F46" t="str">
            <v/>
          </cell>
          <cell r="G46">
            <v>0</v>
          </cell>
          <cell r="H46">
            <v>0</v>
          </cell>
          <cell r="I46">
            <v>0</v>
          </cell>
          <cell r="J46">
            <v>0</v>
          </cell>
          <cell r="L46">
            <v>0</v>
          </cell>
          <cell r="M46">
            <v>0</v>
          </cell>
          <cell r="N46">
            <v>0</v>
          </cell>
          <cell r="S46">
            <v>0</v>
          </cell>
          <cell r="T46">
            <v>0</v>
          </cell>
          <cell r="U46">
            <v>81</v>
          </cell>
          <cell r="Y46">
            <v>75</v>
          </cell>
          <cell r="Z46">
            <v>77</v>
          </cell>
          <cell r="AA46">
            <v>82</v>
          </cell>
          <cell r="AB46">
            <v>81</v>
          </cell>
          <cell r="AC46">
            <v>81</v>
          </cell>
          <cell r="AD46">
            <v>78</v>
          </cell>
          <cell r="AK46">
            <v>1435214.8369799773</v>
          </cell>
          <cell r="AL46">
            <v>555</v>
          </cell>
          <cell r="BS46">
            <v>0</v>
          </cell>
          <cell r="BT46">
            <v>0</v>
          </cell>
          <cell r="BU46">
            <v>0</v>
          </cell>
          <cell r="BV46">
            <v>0</v>
          </cell>
          <cell r="BW46">
            <v>0</v>
          </cell>
          <cell r="BX46">
            <v>0</v>
          </cell>
          <cell r="BY46">
            <v>0</v>
          </cell>
          <cell r="BZ46">
            <v>0</v>
          </cell>
          <cell r="CA46">
            <v>0</v>
          </cell>
          <cell r="CB46">
            <v>0</v>
          </cell>
          <cell r="CC46">
            <v>0</v>
          </cell>
          <cell r="CD46">
            <v>0</v>
          </cell>
          <cell r="CE46">
            <v>0</v>
          </cell>
          <cell r="CF46">
            <v>34020.916695056439</v>
          </cell>
          <cell r="CI46">
            <v>0</v>
          </cell>
          <cell r="CJ46">
            <v>0</v>
          </cell>
          <cell r="CK46">
            <v>11264.83</v>
          </cell>
          <cell r="CL46">
            <v>5744.3261919694669</v>
          </cell>
          <cell r="CM46">
            <v>51030.072887025904</v>
          </cell>
          <cell r="CQ46">
            <v>23613.659742828881</v>
          </cell>
          <cell r="CR46">
            <v>81393.429999999993</v>
          </cell>
          <cell r="CS46">
            <v>91544.622848520317</v>
          </cell>
          <cell r="CT46">
            <v>196551.71259134921</v>
          </cell>
          <cell r="CU46">
            <v>16517.813130614279</v>
          </cell>
          <cell r="CV46">
            <v>0</v>
          </cell>
          <cell r="CW46">
            <v>16517.813130614279</v>
          </cell>
          <cell r="CX46">
            <v>0</v>
          </cell>
          <cell r="CZ46">
            <v>0</v>
          </cell>
          <cell r="DC46">
            <v>0</v>
          </cell>
          <cell r="DD46">
            <v>176951.10245515336</v>
          </cell>
          <cell r="DE46">
            <v>296960.14924938057</v>
          </cell>
          <cell r="DF46">
            <v>22259.053043568056</v>
          </cell>
          <cell r="DG46">
            <v>0</v>
          </cell>
          <cell r="DH46">
            <v>0</v>
          </cell>
          <cell r="DI46">
            <v>496170.30474810197</v>
          </cell>
          <cell r="DJ46">
            <v>0</v>
          </cell>
          <cell r="DK46">
            <v>30457</v>
          </cell>
          <cell r="DL46">
            <v>3805.41</v>
          </cell>
          <cell r="DM46">
            <v>70073.495851086889</v>
          </cell>
          <cell r="DN46">
            <v>0</v>
          </cell>
          <cell r="DO46">
            <v>0</v>
          </cell>
          <cell r="DP46">
            <v>0</v>
          </cell>
          <cell r="DQ46">
            <v>104335.90585108689</v>
          </cell>
          <cell r="DR46">
            <v>0</v>
          </cell>
          <cell r="DS46">
            <v>0</v>
          </cell>
          <cell r="DT46">
            <v>0</v>
          </cell>
          <cell r="DU46">
            <v>0</v>
          </cell>
          <cell r="DV46">
            <v>0</v>
          </cell>
          <cell r="DW46">
            <v>0</v>
          </cell>
          <cell r="DX46">
            <v>0</v>
          </cell>
          <cell r="DY46">
            <v>10457.086215683366</v>
          </cell>
          <cell r="DZ46">
            <v>0</v>
          </cell>
          <cell r="EA46">
            <v>0</v>
          </cell>
          <cell r="EB46">
            <v>10457.086215683366</v>
          </cell>
          <cell r="EE46">
            <v>0</v>
          </cell>
          <cell r="EH46">
            <v>0</v>
          </cell>
          <cell r="EI46">
            <v>7724.8324999999995</v>
          </cell>
          <cell r="EK46">
            <v>0</v>
          </cell>
          <cell r="EL46">
            <v>11388</v>
          </cell>
          <cell r="EM46">
            <v>0</v>
          </cell>
          <cell r="EO46">
            <v>19112.8325</v>
          </cell>
          <cell r="EP46">
            <v>0</v>
          </cell>
          <cell r="EQ46">
            <v>0</v>
          </cell>
          <cell r="ER46">
            <v>2329390.564903839</v>
          </cell>
          <cell r="ET46">
            <v>555</v>
          </cell>
          <cell r="EU46">
            <v>4197.1001169438541</v>
          </cell>
          <cell r="EV46" t="str">
            <v>No Variation Applied</v>
          </cell>
          <cell r="EW46">
            <v>99600</v>
          </cell>
          <cell r="EX46">
            <v>0</v>
          </cell>
          <cell r="EY46">
            <v>0</v>
          </cell>
          <cell r="EZ46">
            <v>354471.01537941862</v>
          </cell>
        </row>
        <row r="47">
          <cell r="C47" t="str">
            <v>Moorhead Primary School</v>
          </cell>
          <cell r="D47">
            <v>2418</v>
          </cell>
          <cell r="E47" t="str">
            <v>Converter</v>
          </cell>
          <cell r="F47">
            <v>41153</v>
          </cell>
          <cell r="G47">
            <v>0</v>
          </cell>
          <cell r="H47">
            <v>0</v>
          </cell>
          <cell r="I47">
            <v>0</v>
          </cell>
          <cell r="J47">
            <v>0</v>
          </cell>
          <cell r="L47">
            <v>0</v>
          </cell>
          <cell r="M47">
            <v>0</v>
          </cell>
          <cell r="N47">
            <v>0</v>
          </cell>
          <cell r="S47">
            <v>0</v>
          </cell>
          <cell r="T47">
            <v>0</v>
          </cell>
          <cell r="U47">
            <v>40</v>
          </cell>
          <cell r="Y47">
            <v>40</v>
          </cell>
          <cell r="Z47">
            <v>39</v>
          </cell>
          <cell r="AA47">
            <v>38</v>
          </cell>
          <cell r="AB47">
            <v>39</v>
          </cell>
          <cell r="AC47">
            <v>40</v>
          </cell>
          <cell r="AD47">
            <v>40</v>
          </cell>
          <cell r="AK47">
            <v>713227.80467794021</v>
          </cell>
          <cell r="AL47">
            <v>276</v>
          </cell>
          <cell r="BS47">
            <v>0</v>
          </cell>
          <cell r="BT47">
            <v>0</v>
          </cell>
          <cell r="BU47">
            <v>0</v>
          </cell>
          <cell r="BV47">
            <v>0</v>
          </cell>
          <cell r="BW47">
            <v>0</v>
          </cell>
          <cell r="BX47">
            <v>0</v>
          </cell>
          <cell r="BY47">
            <v>0</v>
          </cell>
          <cell r="BZ47">
            <v>0</v>
          </cell>
          <cell r="CA47">
            <v>0</v>
          </cell>
          <cell r="CB47">
            <v>0</v>
          </cell>
          <cell r="CC47">
            <v>0</v>
          </cell>
          <cell r="CD47">
            <v>0</v>
          </cell>
          <cell r="CE47">
            <v>0</v>
          </cell>
          <cell r="CF47">
            <v>22680.611130037629</v>
          </cell>
          <cell r="CI47">
            <v>0</v>
          </cell>
          <cell r="CJ47">
            <v>0</v>
          </cell>
          <cell r="CK47">
            <v>5601.97</v>
          </cell>
          <cell r="CL47">
            <v>2023.7880622745745</v>
          </cell>
          <cell r="CM47">
            <v>30306.369192312206</v>
          </cell>
          <cell r="CQ47">
            <v>7617.3095944609295</v>
          </cell>
          <cell r="CR47">
            <v>4622.34</v>
          </cell>
          <cell r="CS47">
            <v>6466.7283248402873</v>
          </cell>
          <cell r="CT47">
            <v>18706.377919301216</v>
          </cell>
          <cell r="CU47">
            <v>11011.875420409518</v>
          </cell>
          <cell r="CV47">
            <v>0</v>
          </cell>
          <cell r="CW47">
            <v>11011.875420409518</v>
          </cell>
          <cell r="CX47">
            <v>0</v>
          </cell>
          <cell r="CZ47">
            <v>0</v>
          </cell>
          <cell r="DC47">
            <v>0</v>
          </cell>
          <cell r="DD47">
            <v>145628.1470743095</v>
          </cell>
          <cell r="DE47">
            <v>148480.07462469029</v>
          </cell>
          <cell r="DF47">
            <v>6848.9393980209397</v>
          </cell>
          <cell r="DG47">
            <v>0</v>
          </cell>
          <cell r="DH47">
            <v>0</v>
          </cell>
          <cell r="DI47">
            <v>300957.16109702067</v>
          </cell>
          <cell r="DJ47">
            <v>0</v>
          </cell>
          <cell r="DK47">
            <v>12251.5</v>
          </cell>
          <cell r="DL47">
            <v>6217.66</v>
          </cell>
          <cell r="DM47">
            <v>70073.495851086889</v>
          </cell>
          <cell r="DN47">
            <v>0</v>
          </cell>
          <cell r="DO47">
            <v>0</v>
          </cell>
          <cell r="DP47">
            <v>0</v>
          </cell>
          <cell r="DQ47">
            <v>88542.655851086893</v>
          </cell>
          <cell r="DR47">
            <v>0</v>
          </cell>
          <cell r="DS47">
            <v>0</v>
          </cell>
          <cell r="DT47">
            <v>0</v>
          </cell>
          <cell r="DU47">
            <v>0</v>
          </cell>
          <cell r="DV47">
            <v>0</v>
          </cell>
          <cell r="DW47">
            <v>0</v>
          </cell>
          <cell r="DX47">
            <v>0</v>
          </cell>
          <cell r="DY47">
            <v>6535.6788848021042</v>
          </cell>
          <cell r="DZ47">
            <v>0</v>
          </cell>
          <cell r="EA47">
            <v>0</v>
          </cell>
          <cell r="EB47">
            <v>6535.6788848021042</v>
          </cell>
          <cell r="EE47">
            <v>0</v>
          </cell>
          <cell r="EH47">
            <v>0</v>
          </cell>
          <cell r="EI47">
            <v>0</v>
          </cell>
          <cell r="EK47">
            <v>0</v>
          </cell>
          <cell r="EL47">
            <v>9010</v>
          </cell>
          <cell r="EM47">
            <v>0</v>
          </cell>
          <cell r="EO47">
            <v>9010</v>
          </cell>
          <cell r="EP47">
            <v>0</v>
          </cell>
          <cell r="EQ47">
            <v>0</v>
          </cell>
          <cell r="ER47">
            <v>1178297.9230428727</v>
          </cell>
          <cell r="ET47">
            <v>276</v>
          </cell>
          <cell r="EU47">
            <v>4269.1953733437413</v>
          </cell>
          <cell r="EV47" t="str">
            <v>No Variation Applied</v>
          </cell>
          <cell r="EW47">
            <v>78000</v>
          </cell>
          <cell r="EX47">
            <v>0</v>
          </cell>
          <cell r="EY47">
            <v>0</v>
          </cell>
          <cell r="EZ47">
            <v>193840.80990078411</v>
          </cell>
        </row>
        <row r="48">
          <cell r="C48" t="str">
            <v>Osmaston Primary School</v>
          </cell>
          <cell r="D48">
            <v>2420</v>
          </cell>
          <cell r="F48" t="str">
            <v/>
          </cell>
          <cell r="G48">
            <v>0</v>
          </cell>
          <cell r="H48">
            <v>41490</v>
          </cell>
          <cell r="I48">
            <v>0</v>
          </cell>
          <cell r="J48">
            <v>0</v>
          </cell>
          <cell r="L48">
            <v>145066.93220760292</v>
          </cell>
          <cell r="M48">
            <v>41490</v>
          </cell>
          <cell r="N48">
            <v>43.673684210526318</v>
          </cell>
          <cell r="S48">
            <v>0</v>
          </cell>
          <cell r="T48">
            <v>0</v>
          </cell>
          <cell r="U48">
            <v>60</v>
          </cell>
          <cell r="Y48">
            <v>73</v>
          </cell>
          <cell r="Z48">
            <v>60</v>
          </cell>
          <cell r="AA48">
            <v>60</v>
          </cell>
          <cell r="AB48">
            <v>52</v>
          </cell>
          <cell r="AC48">
            <v>56</v>
          </cell>
          <cell r="AD48">
            <v>29</v>
          </cell>
          <cell r="AK48">
            <v>1006453.3142718817</v>
          </cell>
          <cell r="AL48">
            <v>390</v>
          </cell>
          <cell r="BS48">
            <v>24719.076000000001</v>
          </cell>
          <cell r="BT48">
            <v>0</v>
          </cell>
          <cell r="BU48">
            <v>1740.78</v>
          </cell>
          <cell r="BV48">
            <v>0</v>
          </cell>
          <cell r="BW48">
            <v>0</v>
          </cell>
          <cell r="BX48">
            <v>-240.72777940231026</v>
          </cell>
          <cell r="BY48">
            <v>0</v>
          </cell>
          <cell r="BZ48">
            <v>6023.0987999999998</v>
          </cell>
          <cell r="CA48">
            <v>0</v>
          </cell>
          <cell r="CB48">
            <v>0</v>
          </cell>
          <cell r="CC48">
            <v>0</v>
          </cell>
          <cell r="CD48">
            <v>0</v>
          </cell>
          <cell r="CE48">
            <v>32242.227020597689</v>
          </cell>
          <cell r="CF48">
            <v>22680.611130037629</v>
          </cell>
          <cell r="CI48">
            <v>0</v>
          </cell>
          <cell r="CJ48">
            <v>0</v>
          </cell>
          <cell r="CK48">
            <v>7915.83</v>
          </cell>
          <cell r="CL48">
            <v>2847.1543081429372</v>
          </cell>
          <cell r="CM48">
            <v>33443.595438180564</v>
          </cell>
          <cell r="CQ48">
            <v>46465.588526211672</v>
          </cell>
          <cell r="CR48">
            <v>21503.94</v>
          </cell>
          <cell r="CS48">
            <v>16570.991332403235</v>
          </cell>
          <cell r="CT48">
            <v>84540.519858614905</v>
          </cell>
          <cell r="CU48">
            <v>26653.743915309406</v>
          </cell>
          <cell r="CV48">
            <v>0</v>
          </cell>
          <cell r="CW48">
            <v>26653.743915309406</v>
          </cell>
          <cell r="CX48">
            <v>0</v>
          </cell>
          <cell r="CZ48">
            <v>0</v>
          </cell>
          <cell r="DC48">
            <v>0</v>
          </cell>
          <cell r="DD48">
            <v>331280.07046858617</v>
          </cell>
          <cell r="DE48">
            <v>260351.73881358403</v>
          </cell>
          <cell r="DF48">
            <v>13697.878796041879</v>
          </cell>
          <cell r="DG48">
            <v>0</v>
          </cell>
          <cell r="DH48">
            <v>0</v>
          </cell>
          <cell r="DI48">
            <v>605329.68807821197</v>
          </cell>
          <cell r="DJ48">
            <v>0</v>
          </cell>
          <cell r="DK48">
            <v>21068</v>
          </cell>
          <cell r="DL48">
            <v>15384.46</v>
          </cell>
          <cell r="DM48">
            <v>70073.495851086889</v>
          </cell>
          <cell r="DN48">
            <v>0</v>
          </cell>
          <cell r="DO48">
            <v>0</v>
          </cell>
          <cell r="DP48">
            <v>0</v>
          </cell>
          <cell r="DQ48">
            <v>106525.95585108688</v>
          </cell>
          <cell r="DR48">
            <v>0</v>
          </cell>
          <cell r="DS48">
            <v>0</v>
          </cell>
          <cell r="DT48">
            <v>0</v>
          </cell>
          <cell r="DU48">
            <v>0</v>
          </cell>
          <cell r="DV48">
            <v>0</v>
          </cell>
          <cell r="DW48">
            <v>0</v>
          </cell>
          <cell r="DX48">
            <v>0</v>
          </cell>
          <cell r="DY48">
            <v>25815.931594968311</v>
          </cell>
          <cell r="DZ48">
            <v>0</v>
          </cell>
          <cell r="EA48">
            <v>0</v>
          </cell>
          <cell r="EB48">
            <v>25815.931594968311</v>
          </cell>
          <cell r="EE48">
            <v>0</v>
          </cell>
          <cell r="EH48">
            <v>0</v>
          </cell>
          <cell r="EI48">
            <v>0</v>
          </cell>
          <cell r="EK48">
            <v>0</v>
          </cell>
          <cell r="EL48">
            <v>20961</v>
          </cell>
          <cell r="EM48">
            <v>0</v>
          </cell>
          <cell r="EO48">
            <v>20961</v>
          </cell>
          <cell r="EP48">
            <v>0</v>
          </cell>
          <cell r="EQ48">
            <v>177309.15922820062</v>
          </cell>
          <cell r="ER48">
            <v>2087032.9082364547</v>
          </cell>
          <cell r="ET48">
            <v>433.67368421052629</v>
          </cell>
          <cell r="EU48">
            <v>4812.4499692337968</v>
          </cell>
          <cell r="EV48" t="str">
            <v>No Variation Applied</v>
          </cell>
          <cell r="EW48">
            <v>154200</v>
          </cell>
          <cell r="EX48">
            <v>0</v>
          </cell>
          <cell r="EY48">
            <v>0</v>
          </cell>
          <cell r="EZ48">
            <v>489539.15752222121</v>
          </cell>
        </row>
        <row r="49">
          <cell r="C49" t="str">
            <v>Pear Tree Community Junior School</v>
          </cell>
          <cell r="D49">
            <v>2423</v>
          </cell>
          <cell r="F49" t="str">
            <v/>
          </cell>
          <cell r="G49">
            <v>0</v>
          </cell>
          <cell r="H49">
            <v>0</v>
          </cell>
          <cell r="I49">
            <v>0</v>
          </cell>
          <cell r="J49">
            <v>0</v>
          </cell>
          <cell r="L49">
            <v>0</v>
          </cell>
          <cell r="M49">
            <v>0</v>
          </cell>
          <cell r="N49">
            <v>0</v>
          </cell>
          <cell r="S49">
            <v>0</v>
          </cell>
          <cell r="T49">
            <v>0</v>
          </cell>
          <cell r="U49">
            <v>0</v>
          </cell>
          <cell r="Y49">
            <v>0</v>
          </cell>
          <cell r="Z49">
            <v>0</v>
          </cell>
          <cell r="AA49">
            <v>90</v>
          </cell>
          <cell r="AB49">
            <v>88</v>
          </cell>
          <cell r="AC49">
            <v>82</v>
          </cell>
          <cell r="AD49">
            <v>83</v>
          </cell>
          <cell r="AK49">
            <v>881270.97318115376</v>
          </cell>
          <cell r="AL49">
            <v>343</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I49">
            <v>0</v>
          </cell>
          <cell r="CJ49">
            <v>0</v>
          </cell>
          <cell r="CK49">
            <v>6961.87</v>
          </cell>
          <cell r="CL49">
            <v>3755.1656820912253</v>
          </cell>
          <cell r="CM49">
            <v>10717.035682091226</v>
          </cell>
          <cell r="CQ49">
            <v>47227.319485657761</v>
          </cell>
          <cell r="CR49">
            <v>54865.2</v>
          </cell>
          <cell r="CS49">
            <v>42033.734111461868</v>
          </cell>
          <cell r="CT49">
            <v>144126.25359711962</v>
          </cell>
          <cell r="CU49">
            <v>2502.698959183982</v>
          </cell>
          <cell r="CV49">
            <v>0</v>
          </cell>
          <cell r="CW49">
            <v>2502.698959183982</v>
          </cell>
          <cell r="CX49">
            <v>0</v>
          </cell>
          <cell r="CZ49">
            <v>0</v>
          </cell>
          <cell r="DC49">
            <v>0</v>
          </cell>
          <cell r="DD49">
            <v>169297.32945955169</v>
          </cell>
          <cell r="DE49">
            <v>226699.28698440461</v>
          </cell>
          <cell r="DF49">
            <v>14553.996220794497</v>
          </cell>
          <cell r="DG49">
            <v>0</v>
          </cell>
          <cell r="DH49">
            <v>0</v>
          </cell>
          <cell r="DI49">
            <v>410550.61266475078</v>
          </cell>
          <cell r="DJ49">
            <v>0</v>
          </cell>
          <cell r="DK49">
            <v>11564.5</v>
          </cell>
          <cell r="DL49">
            <v>13624.66</v>
          </cell>
          <cell r="DM49">
            <v>70073.495851086889</v>
          </cell>
          <cell r="DN49">
            <v>0</v>
          </cell>
          <cell r="DO49">
            <v>0</v>
          </cell>
          <cell r="DP49">
            <v>0</v>
          </cell>
          <cell r="DQ49">
            <v>95262.655851086893</v>
          </cell>
          <cell r="DR49">
            <v>0</v>
          </cell>
          <cell r="DS49">
            <v>0</v>
          </cell>
          <cell r="DT49">
            <v>0</v>
          </cell>
          <cell r="DU49">
            <v>0</v>
          </cell>
          <cell r="DV49">
            <v>0</v>
          </cell>
          <cell r="DW49">
            <v>0</v>
          </cell>
          <cell r="DX49">
            <v>0</v>
          </cell>
          <cell r="DY49">
            <v>16339.19721200526</v>
          </cell>
          <cell r="DZ49">
            <v>0</v>
          </cell>
          <cell r="EA49">
            <v>0</v>
          </cell>
          <cell r="EB49">
            <v>16339.19721200526</v>
          </cell>
          <cell r="EE49">
            <v>0</v>
          </cell>
          <cell r="EH49">
            <v>0</v>
          </cell>
          <cell r="EI49">
            <v>0</v>
          </cell>
          <cell r="EK49">
            <v>0</v>
          </cell>
          <cell r="EL49">
            <v>-5256</v>
          </cell>
          <cell r="EM49">
            <v>0</v>
          </cell>
          <cell r="EO49">
            <v>-5256</v>
          </cell>
          <cell r="EP49">
            <v>0</v>
          </cell>
          <cell r="EQ49">
            <v>0</v>
          </cell>
          <cell r="ER49">
            <v>1555513.4271473915</v>
          </cell>
          <cell r="ET49">
            <v>343</v>
          </cell>
          <cell r="EU49">
            <v>4535.024568942832</v>
          </cell>
          <cell r="EV49" t="str">
            <v>No Variation Applied</v>
          </cell>
          <cell r="EW49">
            <v>98300</v>
          </cell>
          <cell r="EX49">
            <v>0</v>
          </cell>
          <cell r="EY49">
            <v>0</v>
          </cell>
          <cell r="EZ49">
            <v>319172.50292549725</v>
          </cell>
        </row>
        <row r="50">
          <cell r="C50" t="str">
            <v>Pear Tree Infant School</v>
          </cell>
          <cell r="D50">
            <v>2424</v>
          </cell>
          <cell r="F50" t="str">
            <v/>
          </cell>
          <cell r="G50">
            <v>0</v>
          </cell>
          <cell r="H50">
            <v>0</v>
          </cell>
          <cell r="I50">
            <v>0</v>
          </cell>
          <cell r="J50">
            <v>0</v>
          </cell>
          <cell r="L50">
            <v>0</v>
          </cell>
          <cell r="M50">
            <v>0</v>
          </cell>
          <cell r="N50">
            <v>0</v>
          </cell>
          <cell r="S50">
            <v>0</v>
          </cell>
          <cell r="T50">
            <v>0</v>
          </cell>
          <cell r="U50">
            <v>88</v>
          </cell>
          <cell r="Y50">
            <v>90</v>
          </cell>
          <cell r="Z50">
            <v>90</v>
          </cell>
          <cell r="AA50">
            <v>0</v>
          </cell>
          <cell r="AB50">
            <v>0</v>
          </cell>
          <cell r="AC50">
            <v>0</v>
          </cell>
          <cell r="AD50">
            <v>0</v>
          </cell>
          <cell r="AK50">
            <v>696855.91248581652</v>
          </cell>
          <cell r="AL50">
            <v>268</v>
          </cell>
          <cell r="BS50">
            <v>0</v>
          </cell>
          <cell r="BT50">
            <v>0</v>
          </cell>
          <cell r="BU50">
            <v>0</v>
          </cell>
          <cell r="BV50">
            <v>0</v>
          </cell>
          <cell r="BW50">
            <v>0</v>
          </cell>
          <cell r="BX50">
            <v>0</v>
          </cell>
          <cell r="BY50">
            <v>0</v>
          </cell>
          <cell r="BZ50">
            <v>0</v>
          </cell>
          <cell r="CA50">
            <v>0</v>
          </cell>
          <cell r="CB50">
            <v>0</v>
          </cell>
          <cell r="CC50">
            <v>0</v>
          </cell>
          <cell r="CD50">
            <v>0</v>
          </cell>
          <cell r="CE50">
            <v>0</v>
          </cell>
          <cell r="CF50">
            <v>34020.916695056439</v>
          </cell>
          <cell r="CI50">
            <v>0</v>
          </cell>
          <cell r="CJ50">
            <v>0</v>
          </cell>
          <cell r="CK50">
            <v>5439.6</v>
          </cell>
          <cell r="CL50">
            <v>2858.6968256083815</v>
          </cell>
          <cell r="CM50">
            <v>42319.213520664816</v>
          </cell>
          <cell r="CQ50">
            <v>20566.735905044508</v>
          </cell>
          <cell r="CR50">
            <v>36576.800000000003</v>
          </cell>
          <cell r="CS50">
            <v>33344.06792495773</v>
          </cell>
          <cell r="CT50">
            <v>90487.603830002248</v>
          </cell>
          <cell r="CU50">
            <v>4379.7231785719678</v>
          </cell>
          <cell r="CV50">
            <v>0</v>
          </cell>
          <cell r="CW50">
            <v>4379.7231785719678</v>
          </cell>
          <cell r="CX50">
            <v>0</v>
          </cell>
          <cell r="CZ50">
            <v>0</v>
          </cell>
          <cell r="DC50">
            <v>0</v>
          </cell>
          <cell r="DD50">
            <v>124613.45243320661</v>
          </cell>
          <cell r="DE50">
            <v>178267.04212213962</v>
          </cell>
          <cell r="DF50">
            <v>16266.231070299731</v>
          </cell>
          <cell r="DG50">
            <v>0</v>
          </cell>
          <cell r="DH50">
            <v>0</v>
          </cell>
          <cell r="DI50">
            <v>319146.72562564595</v>
          </cell>
          <cell r="DJ50">
            <v>0</v>
          </cell>
          <cell r="DK50">
            <v>11564.5</v>
          </cell>
          <cell r="DL50">
            <v>6819.94</v>
          </cell>
          <cell r="DM50">
            <v>70073.495851086889</v>
          </cell>
          <cell r="DN50">
            <v>0</v>
          </cell>
          <cell r="DO50">
            <v>0</v>
          </cell>
          <cell r="DP50">
            <v>0</v>
          </cell>
          <cell r="DQ50">
            <v>88457.935851086891</v>
          </cell>
          <cell r="DR50">
            <v>0</v>
          </cell>
          <cell r="DS50">
            <v>0</v>
          </cell>
          <cell r="DT50">
            <v>0</v>
          </cell>
          <cell r="DU50">
            <v>0</v>
          </cell>
          <cell r="DV50">
            <v>0</v>
          </cell>
          <cell r="DW50">
            <v>0</v>
          </cell>
          <cell r="DX50">
            <v>0</v>
          </cell>
          <cell r="DY50">
            <v>9803.5183272031554</v>
          </cell>
          <cell r="DZ50">
            <v>0</v>
          </cell>
          <cell r="EA50">
            <v>0</v>
          </cell>
          <cell r="EB50">
            <v>9803.5183272031554</v>
          </cell>
          <cell r="EE50">
            <v>0</v>
          </cell>
          <cell r="EH50">
            <v>0</v>
          </cell>
          <cell r="EI50">
            <v>0</v>
          </cell>
          <cell r="EK50">
            <v>0</v>
          </cell>
          <cell r="EL50">
            <v>6132</v>
          </cell>
          <cell r="EM50">
            <v>0</v>
          </cell>
          <cell r="EO50">
            <v>6132</v>
          </cell>
          <cell r="EP50">
            <v>160884.04143549176</v>
          </cell>
          <cell r="EQ50">
            <v>0</v>
          </cell>
          <cell r="ER50">
            <v>1418466.6742544833</v>
          </cell>
          <cell r="ET50">
            <v>268</v>
          </cell>
          <cell r="EU50">
            <v>5292.7860979644902</v>
          </cell>
          <cell r="EV50" t="str">
            <v>No Variation Applied</v>
          </cell>
          <cell r="EW50">
            <v>60600</v>
          </cell>
          <cell r="EX50">
            <v>0</v>
          </cell>
          <cell r="EY50">
            <v>0</v>
          </cell>
          <cell r="EZ50">
            <v>223447.42915241778</v>
          </cell>
        </row>
        <row r="51">
          <cell r="C51" t="str">
            <v>Rosehill Infant and Nursery School</v>
          </cell>
          <cell r="D51">
            <v>2429</v>
          </cell>
          <cell r="F51" t="str">
            <v/>
          </cell>
          <cell r="G51">
            <v>0</v>
          </cell>
          <cell r="H51">
            <v>32520</v>
          </cell>
          <cell r="I51">
            <v>0</v>
          </cell>
          <cell r="J51">
            <v>0</v>
          </cell>
          <cell r="L51">
            <v>113703.94397183049</v>
          </cell>
          <cell r="M51">
            <v>32520</v>
          </cell>
          <cell r="N51">
            <v>34.231578947368419</v>
          </cell>
          <cell r="S51">
            <v>0</v>
          </cell>
          <cell r="T51">
            <v>0</v>
          </cell>
          <cell r="U51">
            <v>52</v>
          </cell>
          <cell r="Y51">
            <v>52</v>
          </cell>
          <cell r="Z51">
            <v>51</v>
          </cell>
          <cell r="AA51">
            <v>0</v>
          </cell>
          <cell r="AB51">
            <v>0</v>
          </cell>
          <cell r="AC51">
            <v>0</v>
          </cell>
          <cell r="AD51">
            <v>0</v>
          </cell>
          <cell r="AK51">
            <v>403536.47634086036</v>
          </cell>
          <cell r="AL51">
            <v>155</v>
          </cell>
          <cell r="BS51">
            <v>20193.047999999999</v>
          </cell>
          <cell r="BT51">
            <v>0</v>
          </cell>
          <cell r="BU51">
            <v>4177.8720000000003</v>
          </cell>
          <cell r="BV51">
            <v>0</v>
          </cell>
          <cell r="BW51">
            <v>0</v>
          </cell>
          <cell r="BX51">
            <v>-11780.647999999986</v>
          </cell>
          <cell r="BY51">
            <v>0</v>
          </cell>
          <cell r="BZ51">
            <v>3011.5493999999999</v>
          </cell>
          <cell r="CA51">
            <v>0</v>
          </cell>
          <cell r="CB51">
            <v>0</v>
          </cell>
          <cell r="CC51">
            <v>0</v>
          </cell>
          <cell r="CD51">
            <v>0</v>
          </cell>
          <cell r="CE51">
            <v>15601.821400000012</v>
          </cell>
          <cell r="CF51">
            <v>22680.611130037629</v>
          </cell>
          <cell r="CI51">
            <v>0</v>
          </cell>
          <cell r="CJ51">
            <v>0</v>
          </cell>
          <cell r="CK51">
            <v>3146.03</v>
          </cell>
          <cell r="CL51">
            <v>1789.0902071438727</v>
          </cell>
          <cell r="CM51">
            <v>27615.7313371815</v>
          </cell>
          <cell r="CQ51">
            <v>4570.3857566765573</v>
          </cell>
          <cell r="CR51">
            <v>22508.799999999999</v>
          </cell>
          <cell r="CS51">
            <v>27079.424860268704</v>
          </cell>
          <cell r="CT51">
            <v>54158.610616945261</v>
          </cell>
          <cell r="CU51">
            <v>13139.169535715904</v>
          </cell>
          <cell r="CV51">
            <v>0</v>
          </cell>
          <cell r="CW51">
            <v>13139.169535715904</v>
          </cell>
          <cell r="CX51">
            <v>0</v>
          </cell>
          <cell r="CZ51">
            <v>0</v>
          </cell>
          <cell r="DC51">
            <v>0</v>
          </cell>
          <cell r="DD51">
            <v>58516.70760413773</v>
          </cell>
          <cell r="DE51">
            <v>101866.88121265122</v>
          </cell>
          <cell r="DF51">
            <v>8561.1742475261744</v>
          </cell>
          <cell r="DG51">
            <v>0</v>
          </cell>
          <cell r="DH51">
            <v>0</v>
          </cell>
          <cell r="DI51">
            <v>168944.76306431514</v>
          </cell>
          <cell r="DJ51">
            <v>0</v>
          </cell>
          <cell r="DK51">
            <v>8473</v>
          </cell>
          <cell r="DL51">
            <v>5778.79</v>
          </cell>
          <cell r="DM51">
            <v>74722.185859261808</v>
          </cell>
          <cell r="DN51">
            <v>0</v>
          </cell>
          <cell r="DO51">
            <v>0</v>
          </cell>
          <cell r="DP51">
            <v>0</v>
          </cell>
          <cell r="DQ51">
            <v>88973.975859261816</v>
          </cell>
          <cell r="DR51">
            <v>0</v>
          </cell>
          <cell r="DS51">
            <v>0</v>
          </cell>
          <cell r="DT51">
            <v>0</v>
          </cell>
          <cell r="DU51">
            <v>0</v>
          </cell>
          <cell r="DV51">
            <v>0</v>
          </cell>
          <cell r="DW51">
            <v>0</v>
          </cell>
          <cell r="DX51">
            <v>0</v>
          </cell>
          <cell r="DY51">
            <v>3921.4073308812622</v>
          </cell>
          <cell r="DZ51">
            <v>0</v>
          </cell>
          <cell r="EA51">
            <v>0</v>
          </cell>
          <cell r="EB51">
            <v>3921.4073308812622</v>
          </cell>
          <cell r="EE51">
            <v>0</v>
          </cell>
          <cell r="EH51">
            <v>0</v>
          </cell>
          <cell r="EI51">
            <v>0</v>
          </cell>
          <cell r="EK51">
            <v>0</v>
          </cell>
          <cell r="EL51">
            <v>10511</v>
          </cell>
          <cell r="EM51">
            <v>0</v>
          </cell>
          <cell r="EO51">
            <v>10511</v>
          </cell>
          <cell r="EP51">
            <v>0</v>
          </cell>
          <cell r="EQ51">
            <v>129305.76537183051</v>
          </cell>
          <cell r="ER51">
            <v>900106.8994569917</v>
          </cell>
          <cell r="ET51">
            <v>189.2315789473684</v>
          </cell>
          <cell r="EU51">
            <v>4756.6421231804097</v>
          </cell>
          <cell r="EV51" t="str">
            <v>No Variation Applied</v>
          </cell>
          <cell r="EW51">
            <v>29400</v>
          </cell>
          <cell r="EX51">
            <v>0</v>
          </cell>
          <cell r="EY51">
            <v>0</v>
          </cell>
          <cell r="EZ51">
            <v>124908.37213204296</v>
          </cell>
        </row>
        <row r="52">
          <cell r="C52" t="str">
            <v>Sinfin Primary School</v>
          </cell>
          <cell r="D52">
            <v>2430</v>
          </cell>
          <cell r="F52" t="str">
            <v/>
          </cell>
          <cell r="G52">
            <v>0</v>
          </cell>
          <cell r="H52">
            <v>12030</v>
          </cell>
          <cell r="I52">
            <v>0</v>
          </cell>
          <cell r="J52">
            <v>0</v>
          </cell>
          <cell r="L52">
            <v>42062.067834597809</v>
          </cell>
          <cell r="M52">
            <v>12030</v>
          </cell>
          <cell r="N52">
            <v>12.663157894736843</v>
          </cell>
          <cell r="S52">
            <v>0</v>
          </cell>
          <cell r="T52">
            <v>0</v>
          </cell>
          <cell r="U52">
            <v>20</v>
          </cell>
          <cell r="Y52">
            <v>19</v>
          </cell>
          <cell r="Z52">
            <v>14</v>
          </cell>
          <cell r="AA52">
            <v>18</v>
          </cell>
          <cell r="AB52">
            <v>16</v>
          </cell>
          <cell r="AC52">
            <v>14</v>
          </cell>
          <cell r="AD52">
            <v>12</v>
          </cell>
          <cell r="AK52">
            <v>293154.65272212337</v>
          </cell>
          <cell r="AL52">
            <v>113</v>
          </cell>
          <cell r="BS52">
            <v>6963.12</v>
          </cell>
          <cell r="BT52">
            <v>0</v>
          </cell>
          <cell r="BU52">
            <v>928.41600000000005</v>
          </cell>
          <cell r="BV52">
            <v>0</v>
          </cell>
          <cell r="BW52">
            <v>0</v>
          </cell>
          <cell r="BX52">
            <v>-7526.8041999999987</v>
          </cell>
          <cell r="BY52">
            <v>0</v>
          </cell>
          <cell r="BZ52">
            <v>1003.8498</v>
          </cell>
          <cell r="CA52">
            <v>0</v>
          </cell>
          <cell r="CB52">
            <v>0</v>
          </cell>
          <cell r="CC52">
            <v>0</v>
          </cell>
          <cell r="CD52">
            <v>0</v>
          </cell>
          <cell r="CE52">
            <v>1368.5816000000023</v>
          </cell>
          <cell r="CF52">
            <v>11340.305565018814</v>
          </cell>
          <cell r="CI52">
            <v>0</v>
          </cell>
          <cell r="CJ52">
            <v>0</v>
          </cell>
          <cell r="CK52">
            <v>2293.56</v>
          </cell>
          <cell r="CL52">
            <v>1161.9467581880635</v>
          </cell>
          <cell r="CM52">
            <v>14795.812323206877</v>
          </cell>
          <cell r="CQ52">
            <v>4570.3857566765573</v>
          </cell>
          <cell r="CR52">
            <v>9445.66</v>
          </cell>
          <cell r="CS52">
            <v>5860.47254438651</v>
          </cell>
          <cell r="CT52">
            <v>19876.518301063068</v>
          </cell>
          <cell r="CU52">
            <v>0</v>
          </cell>
          <cell r="CV52">
            <v>0</v>
          </cell>
          <cell r="CW52">
            <v>0</v>
          </cell>
          <cell r="CX52">
            <v>0</v>
          </cell>
          <cell r="CZ52">
            <v>0</v>
          </cell>
          <cell r="DC52">
            <v>0</v>
          </cell>
          <cell r="DD52">
            <v>72909.93003902644</v>
          </cell>
          <cell r="DE52">
            <v>73671.583734149535</v>
          </cell>
          <cell r="DF52">
            <v>856.11742475261747</v>
          </cell>
          <cell r="DG52">
            <v>0</v>
          </cell>
          <cell r="DH52">
            <v>0</v>
          </cell>
          <cell r="DI52">
            <v>147437.6311979286</v>
          </cell>
          <cell r="DJ52">
            <v>0</v>
          </cell>
          <cell r="DK52">
            <v>18434.5</v>
          </cell>
          <cell r="DL52">
            <v>1522.32</v>
          </cell>
          <cell r="DM52">
            <v>74722.185859261808</v>
          </cell>
          <cell r="DN52">
            <v>0</v>
          </cell>
          <cell r="DO52">
            <v>0</v>
          </cell>
          <cell r="DP52">
            <v>0</v>
          </cell>
          <cell r="DQ52">
            <v>94679.005859261815</v>
          </cell>
          <cell r="DR52">
            <v>20979.235406779724</v>
          </cell>
          <cell r="DS52">
            <v>0</v>
          </cell>
          <cell r="DT52">
            <v>2721.2288460713607</v>
          </cell>
          <cell r="DU52">
            <v>0</v>
          </cell>
          <cell r="DV52">
            <v>0</v>
          </cell>
          <cell r="DW52">
            <v>0</v>
          </cell>
          <cell r="DX52">
            <v>23700.464252851085</v>
          </cell>
          <cell r="DY52">
            <v>3594.6233866411571</v>
          </cell>
          <cell r="DZ52">
            <v>0</v>
          </cell>
          <cell r="EA52">
            <v>9695.2144223708819</v>
          </cell>
          <cell r="EB52">
            <v>13289.837809012039</v>
          </cell>
          <cell r="EE52">
            <v>0</v>
          </cell>
          <cell r="EH52">
            <v>0</v>
          </cell>
          <cell r="EI52">
            <v>0</v>
          </cell>
          <cell r="EK52">
            <v>0</v>
          </cell>
          <cell r="EL52">
            <v>0</v>
          </cell>
          <cell r="EM52">
            <v>0</v>
          </cell>
          <cell r="EO52">
            <v>0</v>
          </cell>
          <cell r="EP52">
            <v>57249.303847600357</v>
          </cell>
          <cell r="EQ52">
            <v>43430.649434597814</v>
          </cell>
          <cell r="ER52">
            <v>707613.87574764504</v>
          </cell>
          <cell r="ET52">
            <v>125.66315789473684</v>
          </cell>
          <cell r="EU52">
            <v>5631.0368735153525</v>
          </cell>
          <cell r="EV52" t="str">
            <v>No Variation Applied</v>
          </cell>
          <cell r="EW52">
            <v>37200</v>
          </cell>
          <cell r="EX52">
            <v>0</v>
          </cell>
          <cell r="EY52">
            <v>0</v>
          </cell>
          <cell r="EZ52">
            <v>98048.644388083238</v>
          </cell>
        </row>
        <row r="53">
          <cell r="C53" t="str">
            <v>Brackensdale Junior School</v>
          </cell>
          <cell r="D53">
            <v>2432</v>
          </cell>
          <cell r="F53" t="str">
            <v/>
          </cell>
          <cell r="G53">
            <v>0</v>
          </cell>
          <cell r="H53">
            <v>0</v>
          </cell>
          <cell r="I53">
            <v>0</v>
          </cell>
          <cell r="J53">
            <v>0</v>
          </cell>
          <cell r="L53">
            <v>0</v>
          </cell>
          <cell r="M53">
            <v>0</v>
          </cell>
          <cell r="N53">
            <v>0</v>
          </cell>
          <cell r="S53">
            <v>0</v>
          </cell>
          <cell r="T53">
            <v>0</v>
          </cell>
          <cell r="U53">
            <v>0</v>
          </cell>
          <cell r="Y53">
            <v>0</v>
          </cell>
          <cell r="Z53">
            <v>0</v>
          </cell>
          <cell r="AA53">
            <v>58</v>
          </cell>
          <cell r="AB53">
            <v>51</v>
          </cell>
          <cell r="AC53">
            <v>51</v>
          </cell>
          <cell r="AD53">
            <v>55</v>
          </cell>
          <cell r="AK53">
            <v>552400.17269372614</v>
          </cell>
          <cell r="AL53">
            <v>215</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4363.8500000000004</v>
          </cell>
          <cell r="CL53">
            <v>1423.5771540714686</v>
          </cell>
          <cell r="CM53">
            <v>5787.427154071469</v>
          </cell>
          <cell r="CQ53">
            <v>2285.1928783382787</v>
          </cell>
          <cell r="CR53">
            <v>2411.66</v>
          </cell>
          <cell r="CS53">
            <v>4243.7904631764386</v>
          </cell>
          <cell r="CT53">
            <v>8940.6433415147185</v>
          </cell>
          <cell r="CU53">
            <v>3003.2387510207782</v>
          </cell>
          <cell r="CV53">
            <v>0</v>
          </cell>
          <cell r="CW53">
            <v>3003.2387510207782</v>
          </cell>
          <cell r="CX53">
            <v>623434.01330461411</v>
          </cell>
          <cell r="CZ53">
            <v>623434.01330461411</v>
          </cell>
          <cell r="DC53">
            <v>0</v>
          </cell>
          <cell r="DD53">
            <v>117225.12821201884</v>
          </cell>
          <cell r="DE53">
            <v>64348.945051741728</v>
          </cell>
          <cell r="DF53">
            <v>9417.2916722787922</v>
          </cell>
          <cell r="DG53">
            <v>0</v>
          </cell>
          <cell r="DH53">
            <v>0</v>
          </cell>
          <cell r="DI53">
            <v>190991.36493603938</v>
          </cell>
          <cell r="DJ53">
            <v>0</v>
          </cell>
          <cell r="DK53">
            <v>7671.5</v>
          </cell>
          <cell r="DL53">
            <v>5467.73</v>
          </cell>
          <cell r="DM53">
            <v>70073.495851086889</v>
          </cell>
          <cell r="DN53">
            <v>0</v>
          </cell>
          <cell r="DO53">
            <v>0</v>
          </cell>
          <cell r="DP53">
            <v>0</v>
          </cell>
          <cell r="DQ53">
            <v>83212.725851086885</v>
          </cell>
          <cell r="DR53">
            <v>0</v>
          </cell>
          <cell r="DS53">
            <v>0</v>
          </cell>
          <cell r="DT53">
            <v>0</v>
          </cell>
          <cell r="DU53">
            <v>0</v>
          </cell>
          <cell r="DV53">
            <v>0</v>
          </cell>
          <cell r="DW53">
            <v>0</v>
          </cell>
          <cell r="DX53">
            <v>0</v>
          </cell>
          <cell r="DY53">
            <v>3267.8394424010521</v>
          </cell>
          <cell r="DZ53">
            <v>0</v>
          </cell>
          <cell r="EA53">
            <v>0</v>
          </cell>
          <cell r="EB53">
            <v>3267.8394424010521</v>
          </cell>
          <cell r="EE53">
            <v>0</v>
          </cell>
          <cell r="EH53">
            <v>0</v>
          </cell>
          <cell r="EI53">
            <v>0</v>
          </cell>
          <cell r="EK53">
            <v>0</v>
          </cell>
          <cell r="EL53">
            <v>-5006</v>
          </cell>
          <cell r="EM53">
            <v>0</v>
          </cell>
          <cell r="EO53">
            <v>-5006</v>
          </cell>
          <cell r="EP53">
            <v>14095.520642657531</v>
          </cell>
          <cell r="EQ53">
            <v>0</v>
          </cell>
          <cell r="ER53">
            <v>1480126.946117132</v>
          </cell>
          <cell r="ET53">
            <v>215</v>
          </cell>
          <cell r="EU53">
            <v>6884.3113772889856</v>
          </cell>
          <cell r="EV53" t="str">
            <v>No Variation Applied</v>
          </cell>
          <cell r="EW53">
            <v>65400</v>
          </cell>
          <cell r="EX53">
            <v>0</v>
          </cell>
          <cell r="EY53">
            <v>0</v>
          </cell>
          <cell r="EZ53">
            <v>770062.30519794708</v>
          </cell>
        </row>
        <row r="54">
          <cell r="C54" t="str">
            <v>Brackensdale Infant School</v>
          </cell>
          <cell r="D54">
            <v>2433</v>
          </cell>
          <cell r="F54" t="str">
            <v/>
          </cell>
          <cell r="G54">
            <v>0</v>
          </cell>
          <cell r="H54">
            <v>24336</v>
          </cell>
          <cell r="I54">
            <v>0</v>
          </cell>
          <cell r="J54">
            <v>0</v>
          </cell>
          <cell r="L54">
            <v>85089.150691834773</v>
          </cell>
          <cell r="M54">
            <v>24336</v>
          </cell>
          <cell r="N54">
            <v>25.616842105263157</v>
          </cell>
          <cell r="S54">
            <v>0</v>
          </cell>
          <cell r="T54">
            <v>0</v>
          </cell>
          <cell r="U54">
            <v>61</v>
          </cell>
          <cell r="Y54">
            <v>50</v>
          </cell>
          <cell r="Z54">
            <v>65</v>
          </cell>
          <cell r="AA54">
            <v>0</v>
          </cell>
          <cell r="AB54">
            <v>0</v>
          </cell>
          <cell r="AC54">
            <v>0</v>
          </cell>
          <cell r="AD54">
            <v>0</v>
          </cell>
          <cell r="AK54">
            <v>459101.44652005914</v>
          </cell>
          <cell r="AL54">
            <v>176</v>
          </cell>
          <cell r="BS54">
            <v>6057.9144000000006</v>
          </cell>
          <cell r="BT54">
            <v>0</v>
          </cell>
          <cell r="BU54">
            <v>348.15600000000001</v>
          </cell>
          <cell r="BV54">
            <v>0</v>
          </cell>
          <cell r="BW54">
            <v>0</v>
          </cell>
          <cell r="BX54">
            <v>-10265.964327621026</v>
          </cell>
          <cell r="BY54">
            <v>0</v>
          </cell>
          <cell r="BZ54">
            <v>2007.6995999999999</v>
          </cell>
          <cell r="CA54">
            <v>0</v>
          </cell>
          <cell r="CB54">
            <v>0</v>
          </cell>
          <cell r="CC54">
            <v>0</v>
          </cell>
          <cell r="CD54">
            <v>0</v>
          </cell>
          <cell r="CE54">
            <v>-1852.1943276210259</v>
          </cell>
          <cell r="CF54">
            <v>22680.611130037629</v>
          </cell>
          <cell r="CI54">
            <v>0</v>
          </cell>
          <cell r="CJ54">
            <v>0</v>
          </cell>
          <cell r="CK54">
            <v>3572.27</v>
          </cell>
          <cell r="CL54">
            <v>1869.8878294019833</v>
          </cell>
          <cell r="CM54">
            <v>28122.768959439614</v>
          </cell>
          <cell r="CQ54">
            <v>3808.6547972304647</v>
          </cell>
          <cell r="CR54">
            <v>2210.69</v>
          </cell>
          <cell r="CS54">
            <v>1616.6820812100718</v>
          </cell>
          <cell r="CT54">
            <v>7636.0268784405362</v>
          </cell>
          <cell r="CU54">
            <v>2502.698959183982</v>
          </cell>
          <cell r="CV54">
            <v>0</v>
          </cell>
          <cell r="CW54">
            <v>2502.698959183982</v>
          </cell>
          <cell r="CX54">
            <v>492200.68550177501</v>
          </cell>
          <cell r="CZ54">
            <v>492200.68550177501</v>
          </cell>
          <cell r="DC54">
            <v>0</v>
          </cell>
          <cell r="DD54">
            <v>77702.755132611317</v>
          </cell>
          <cell r="DE54">
            <v>56390.594957003348</v>
          </cell>
          <cell r="DF54">
            <v>7705.0568227735575</v>
          </cell>
          <cell r="DG54">
            <v>0</v>
          </cell>
          <cell r="DH54">
            <v>0</v>
          </cell>
          <cell r="DI54">
            <v>141798.40691238822</v>
          </cell>
          <cell r="DJ54">
            <v>0</v>
          </cell>
          <cell r="DK54">
            <v>7671.5</v>
          </cell>
          <cell r="DL54">
            <v>5003.1400000000003</v>
          </cell>
          <cell r="DM54">
            <v>70073.495851086889</v>
          </cell>
          <cell r="DN54">
            <v>0</v>
          </cell>
          <cell r="DO54">
            <v>0</v>
          </cell>
          <cell r="DP54">
            <v>0</v>
          </cell>
          <cell r="DQ54">
            <v>82748.135851086889</v>
          </cell>
          <cell r="DR54">
            <v>0</v>
          </cell>
          <cell r="DS54">
            <v>0</v>
          </cell>
          <cell r="DT54">
            <v>0</v>
          </cell>
          <cell r="DU54">
            <v>0</v>
          </cell>
          <cell r="DV54">
            <v>0</v>
          </cell>
          <cell r="DW54">
            <v>0</v>
          </cell>
          <cell r="DX54">
            <v>0</v>
          </cell>
          <cell r="DY54">
            <v>5228.5431078416832</v>
          </cell>
          <cell r="DZ54">
            <v>0</v>
          </cell>
          <cell r="EA54">
            <v>0</v>
          </cell>
          <cell r="EB54">
            <v>5228.5431078416832</v>
          </cell>
          <cell r="EE54">
            <v>0</v>
          </cell>
          <cell r="EH54">
            <v>0</v>
          </cell>
          <cell r="EI54">
            <v>0</v>
          </cell>
          <cell r="EK54">
            <v>0</v>
          </cell>
          <cell r="EL54">
            <v>0</v>
          </cell>
          <cell r="EM54">
            <v>0</v>
          </cell>
          <cell r="EO54">
            <v>0</v>
          </cell>
          <cell r="EP54">
            <v>68214.934877201449</v>
          </cell>
          <cell r="EQ54">
            <v>83236.956364213751</v>
          </cell>
          <cell r="ER54">
            <v>1370790.6039316303</v>
          </cell>
          <cell r="ET54">
            <v>201.61684210526315</v>
          </cell>
          <cell r="EU54">
            <v>6798.9885647348219</v>
          </cell>
          <cell r="EV54" t="str">
            <v>No Variation Applied</v>
          </cell>
          <cell r="EW54">
            <v>38650</v>
          </cell>
          <cell r="EX54">
            <v>0</v>
          </cell>
          <cell r="EY54">
            <v>0</v>
          </cell>
          <cell r="EZ54">
            <v>601097.06831658084</v>
          </cell>
        </row>
        <row r="55">
          <cell r="C55" t="str">
            <v>Lakeside Community Primary School</v>
          </cell>
          <cell r="D55">
            <v>2434</v>
          </cell>
          <cell r="F55" t="str">
            <v/>
          </cell>
          <cell r="G55">
            <v>0</v>
          </cell>
          <cell r="H55">
            <v>59280</v>
          </cell>
          <cell r="I55">
            <v>0</v>
          </cell>
          <cell r="J55">
            <v>0</v>
          </cell>
          <cell r="L55">
            <v>207268.44399293084</v>
          </cell>
          <cell r="M55">
            <v>59280</v>
          </cell>
          <cell r="N55">
            <v>62.4</v>
          </cell>
          <cell r="S55">
            <v>0</v>
          </cell>
          <cell r="T55">
            <v>0</v>
          </cell>
          <cell r="U55">
            <v>56</v>
          </cell>
          <cell r="Y55">
            <v>52</v>
          </cell>
          <cell r="Z55">
            <v>49</v>
          </cell>
          <cell r="AA55">
            <v>53</v>
          </cell>
          <cell r="AB55">
            <v>52</v>
          </cell>
          <cell r="AC55">
            <v>54</v>
          </cell>
          <cell r="AD55">
            <v>52</v>
          </cell>
          <cell r="AK55">
            <v>952385.89583938685</v>
          </cell>
          <cell r="AL55">
            <v>368</v>
          </cell>
          <cell r="BS55">
            <v>24138.815999999999</v>
          </cell>
          <cell r="BT55">
            <v>0</v>
          </cell>
          <cell r="BU55">
            <v>812.36400000000003</v>
          </cell>
          <cell r="BV55">
            <v>0</v>
          </cell>
          <cell r="BW55">
            <v>0</v>
          </cell>
          <cell r="BX55">
            <v>-8231.9026000000013</v>
          </cell>
          <cell r="BY55">
            <v>0</v>
          </cell>
          <cell r="BZ55">
            <v>3011.5493999999999</v>
          </cell>
          <cell r="CA55">
            <v>0</v>
          </cell>
          <cell r="CB55">
            <v>0</v>
          </cell>
          <cell r="CC55">
            <v>0</v>
          </cell>
          <cell r="CD55">
            <v>0</v>
          </cell>
          <cell r="CE55">
            <v>19730.826799999999</v>
          </cell>
          <cell r="CF55">
            <v>22680.611130037629</v>
          </cell>
          <cell r="CI55">
            <v>0</v>
          </cell>
          <cell r="CJ55">
            <v>0</v>
          </cell>
          <cell r="CK55">
            <v>7469.3</v>
          </cell>
          <cell r="CL55">
            <v>2781.746709172086</v>
          </cell>
          <cell r="CM55">
            <v>32931.657839209714</v>
          </cell>
          <cell r="CQ55">
            <v>11425.964391691394</v>
          </cell>
          <cell r="CR55">
            <v>1808.74</v>
          </cell>
          <cell r="CS55">
            <v>5860.47254438651</v>
          </cell>
          <cell r="CT55">
            <v>19095.176936077904</v>
          </cell>
          <cell r="CU55">
            <v>6006.4775020415564</v>
          </cell>
          <cell r="CV55">
            <v>0</v>
          </cell>
          <cell r="CW55">
            <v>6006.4775020415564</v>
          </cell>
          <cell r="CX55">
            <v>188680.60004797752</v>
          </cell>
          <cell r="CZ55">
            <v>188680.60004797752</v>
          </cell>
          <cell r="DC55">
            <v>0</v>
          </cell>
          <cell r="DD55">
            <v>212948.90569650929</v>
          </cell>
          <cell r="DE55">
            <v>175083.70208424429</v>
          </cell>
          <cell r="DF55">
            <v>25683.522742578523</v>
          </cell>
          <cell r="DG55">
            <v>0</v>
          </cell>
          <cell r="DH55">
            <v>0</v>
          </cell>
          <cell r="DI55">
            <v>413716.1305233321</v>
          </cell>
          <cell r="DJ55">
            <v>0</v>
          </cell>
          <cell r="DK55">
            <v>55004.81</v>
          </cell>
          <cell r="DL55">
            <v>3393.6</v>
          </cell>
          <cell r="DM55">
            <v>70073.495851086889</v>
          </cell>
          <cell r="DN55">
            <v>0</v>
          </cell>
          <cell r="DO55">
            <v>0</v>
          </cell>
          <cell r="DP55">
            <v>0</v>
          </cell>
          <cell r="DQ55">
            <v>128471.90585108689</v>
          </cell>
          <cell r="DR55">
            <v>128521.25444332088</v>
          </cell>
          <cell r="DS55">
            <v>0</v>
          </cell>
          <cell r="DT55">
            <v>8153.7170096320333</v>
          </cell>
          <cell r="DU55">
            <v>0</v>
          </cell>
          <cell r="DV55">
            <v>0</v>
          </cell>
          <cell r="DW55">
            <v>0</v>
          </cell>
          <cell r="DX55">
            <v>136674.97145295292</v>
          </cell>
          <cell r="DY55">
            <v>12091.005936883892</v>
          </cell>
          <cell r="DZ55">
            <v>0</v>
          </cell>
          <cell r="EA55">
            <v>0</v>
          </cell>
          <cell r="EB55">
            <v>12091.005936883892</v>
          </cell>
          <cell r="EE55">
            <v>0</v>
          </cell>
          <cell r="EH55">
            <v>0</v>
          </cell>
          <cell r="EI55">
            <v>0</v>
          </cell>
          <cell r="EK55">
            <v>0</v>
          </cell>
          <cell r="EL55">
            <v>0</v>
          </cell>
          <cell r="EM55">
            <v>0</v>
          </cell>
          <cell r="EO55">
            <v>0</v>
          </cell>
          <cell r="EP55">
            <v>0</v>
          </cell>
          <cell r="EQ55">
            <v>226999.27079293085</v>
          </cell>
          <cell r="ER55">
            <v>2117053.0927218799</v>
          </cell>
          <cell r="ET55">
            <v>430.4</v>
          </cell>
          <cell r="EU55">
            <v>4918.8036540935873</v>
          </cell>
          <cell r="EV55" t="str">
            <v>No Variation Applied</v>
          </cell>
          <cell r="EW55">
            <v>120200</v>
          </cell>
          <cell r="EX55">
            <v>0</v>
          </cell>
          <cell r="EY55">
            <v>0</v>
          </cell>
          <cell r="EZ55">
            <v>477904.48908939032</v>
          </cell>
        </row>
        <row r="56">
          <cell r="C56" t="str">
            <v>Markeaton Primary School</v>
          </cell>
          <cell r="D56">
            <v>2436</v>
          </cell>
          <cell r="F56" t="str">
            <v/>
          </cell>
          <cell r="G56">
            <v>0</v>
          </cell>
          <cell r="H56">
            <v>0</v>
          </cell>
          <cell r="I56">
            <v>0</v>
          </cell>
          <cell r="J56">
            <v>0</v>
          </cell>
          <cell r="L56">
            <v>0</v>
          </cell>
          <cell r="M56">
            <v>0</v>
          </cell>
          <cell r="N56">
            <v>0</v>
          </cell>
          <cell r="S56">
            <v>0</v>
          </cell>
          <cell r="T56">
            <v>0</v>
          </cell>
          <cell r="U56">
            <v>45</v>
          </cell>
          <cell r="Y56">
            <v>44</v>
          </cell>
          <cell r="Z56">
            <v>45</v>
          </cell>
          <cell r="AA56">
            <v>46</v>
          </cell>
          <cell r="AB56">
            <v>41</v>
          </cell>
          <cell r="AC56">
            <v>47</v>
          </cell>
          <cell r="AD56">
            <v>36</v>
          </cell>
          <cell r="AK56">
            <v>785665.93822151981</v>
          </cell>
          <cell r="AL56">
            <v>304</v>
          </cell>
          <cell r="BS56">
            <v>0</v>
          </cell>
          <cell r="BT56">
            <v>0</v>
          </cell>
          <cell r="BU56">
            <v>0</v>
          </cell>
          <cell r="BV56">
            <v>0</v>
          </cell>
          <cell r="BW56">
            <v>0</v>
          </cell>
          <cell r="BX56">
            <v>0</v>
          </cell>
          <cell r="BY56">
            <v>0</v>
          </cell>
          <cell r="BZ56">
            <v>0</v>
          </cell>
          <cell r="CA56">
            <v>0</v>
          </cell>
          <cell r="CB56">
            <v>0</v>
          </cell>
          <cell r="CC56">
            <v>0</v>
          </cell>
          <cell r="CD56">
            <v>0</v>
          </cell>
          <cell r="CE56">
            <v>0</v>
          </cell>
          <cell r="CF56">
            <v>22680.611130037629</v>
          </cell>
          <cell r="CI56">
            <v>0</v>
          </cell>
          <cell r="CJ56">
            <v>0</v>
          </cell>
          <cell r="CK56">
            <v>6170.29</v>
          </cell>
          <cell r="CL56">
            <v>4840.1623238429929</v>
          </cell>
          <cell r="CM56">
            <v>33691.063453880619</v>
          </cell>
          <cell r="CQ56">
            <v>3808.6547972304647</v>
          </cell>
          <cell r="CR56">
            <v>1607.77</v>
          </cell>
          <cell r="CS56">
            <v>3233.3641624201437</v>
          </cell>
          <cell r="CT56">
            <v>8649.7889596506084</v>
          </cell>
          <cell r="CU56">
            <v>16517.813130614279</v>
          </cell>
          <cell r="CV56">
            <v>0</v>
          </cell>
          <cell r="CW56">
            <v>16517.813130614279</v>
          </cell>
          <cell r="CX56">
            <v>205994.57915850607</v>
          </cell>
          <cell r="CZ56">
            <v>205994.57915850607</v>
          </cell>
          <cell r="DC56">
            <v>0</v>
          </cell>
          <cell r="DD56">
            <v>57071.486498995218</v>
          </cell>
          <cell r="DE56">
            <v>52752.49205655152</v>
          </cell>
          <cell r="DF56">
            <v>1712.2348495052349</v>
          </cell>
          <cell r="DG56">
            <v>0</v>
          </cell>
          <cell r="DH56">
            <v>0</v>
          </cell>
          <cell r="DI56">
            <v>111536.21340505197</v>
          </cell>
          <cell r="DJ56">
            <v>0</v>
          </cell>
          <cell r="DK56">
            <v>13053</v>
          </cell>
          <cell r="DL56">
            <v>5092.29</v>
          </cell>
          <cell r="DM56">
            <v>70073.495851086889</v>
          </cell>
          <cell r="DN56">
            <v>0</v>
          </cell>
          <cell r="DO56">
            <v>0</v>
          </cell>
          <cell r="DP56">
            <v>0</v>
          </cell>
          <cell r="DQ56">
            <v>88218.785851086897</v>
          </cell>
          <cell r="DR56">
            <v>0</v>
          </cell>
          <cell r="DS56">
            <v>0</v>
          </cell>
          <cell r="DT56">
            <v>0</v>
          </cell>
          <cell r="DU56">
            <v>0</v>
          </cell>
          <cell r="DV56">
            <v>0</v>
          </cell>
          <cell r="DW56">
            <v>0</v>
          </cell>
          <cell r="DX56">
            <v>0</v>
          </cell>
          <cell r="DY56">
            <v>3267.8394424010521</v>
          </cell>
          <cell r="DZ56">
            <v>0</v>
          </cell>
          <cell r="EA56">
            <v>0</v>
          </cell>
          <cell r="EB56">
            <v>3267.8394424010521</v>
          </cell>
          <cell r="EE56">
            <v>0</v>
          </cell>
          <cell r="EH56">
            <v>0</v>
          </cell>
          <cell r="EI56">
            <v>0</v>
          </cell>
          <cell r="EK56">
            <v>0</v>
          </cell>
          <cell r="EL56">
            <v>6132</v>
          </cell>
          <cell r="EM56">
            <v>0</v>
          </cell>
          <cell r="EO56">
            <v>6132</v>
          </cell>
          <cell r="EP56">
            <v>35345.854678697651</v>
          </cell>
          <cell r="EQ56">
            <v>0</v>
          </cell>
          <cell r="ER56">
            <v>1295019.8763014087</v>
          </cell>
          <cell r="ET56">
            <v>304</v>
          </cell>
          <cell r="EU56">
            <v>4259.9338036230547</v>
          </cell>
          <cell r="EV56" t="str">
            <v>No Variation Applied</v>
          </cell>
          <cell r="EW56">
            <v>27500</v>
          </cell>
          <cell r="EX56">
            <v>0</v>
          </cell>
          <cell r="EY56">
            <v>0</v>
          </cell>
          <cell r="EZ56">
            <v>302731.32692344603</v>
          </cell>
        </row>
        <row r="57">
          <cell r="C57" t="str">
            <v>Portway Infant School</v>
          </cell>
          <cell r="D57">
            <v>2439</v>
          </cell>
          <cell r="F57" t="str">
            <v/>
          </cell>
          <cell r="G57">
            <v>0</v>
          </cell>
          <cell r="H57">
            <v>0</v>
          </cell>
          <cell r="I57">
            <v>0</v>
          </cell>
          <cell r="J57">
            <v>0</v>
          </cell>
          <cell r="L57">
            <v>0</v>
          </cell>
          <cell r="M57">
            <v>0</v>
          </cell>
          <cell r="N57">
            <v>0</v>
          </cell>
          <cell r="S57">
            <v>0</v>
          </cell>
          <cell r="T57">
            <v>0</v>
          </cell>
          <cell r="U57">
            <v>78</v>
          </cell>
          <cell r="Y57">
            <v>75</v>
          </cell>
          <cell r="Z57">
            <v>80</v>
          </cell>
          <cell r="AA57">
            <v>0</v>
          </cell>
          <cell r="AB57">
            <v>0</v>
          </cell>
          <cell r="AC57">
            <v>0</v>
          </cell>
          <cell r="AD57">
            <v>0</v>
          </cell>
          <cell r="AK57">
            <v>606529.87926005188</v>
          </cell>
          <cell r="AL57">
            <v>233</v>
          </cell>
          <cell r="BS57">
            <v>0</v>
          </cell>
          <cell r="BT57">
            <v>0</v>
          </cell>
          <cell r="BU57">
            <v>0</v>
          </cell>
          <cell r="BV57">
            <v>0</v>
          </cell>
          <cell r="BW57">
            <v>0</v>
          </cell>
          <cell r="BX57">
            <v>0</v>
          </cell>
          <cell r="BY57">
            <v>0</v>
          </cell>
          <cell r="BZ57">
            <v>0</v>
          </cell>
          <cell r="CA57">
            <v>0</v>
          </cell>
          <cell r="CB57">
            <v>0</v>
          </cell>
          <cell r="CC57">
            <v>0</v>
          </cell>
          <cell r="CD57">
            <v>0</v>
          </cell>
          <cell r="CE57">
            <v>0</v>
          </cell>
          <cell r="CF57">
            <v>34020.916695056439</v>
          </cell>
          <cell r="CI57">
            <v>0</v>
          </cell>
          <cell r="CJ57">
            <v>0</v>
          </cell>
          <cell r="CK57">
            <v>4729.2</v>
          </cell>
          <cell r="CL57">
            <v>3262.6849368989333</v>
          </cell>
          <cell r="CM57">
            <v>42012.801631955372</v>
          </cell>
          <cell r="CQ57">
            <v>761.73095944609292</v>
          </cell>
          <cell r="CR57">
            <v>602.91</v>
          </cell>
          <cell r="CS57">
            <v>1414.5968210588128</v>
          </cell>
          <cell r="CT57">
            <v>2779.2377805049055</v>
          </cell>
          <cell r="CU57">
            <v>0</v>
          </cell>
          <cell r="CV57">
            <v>0</v>
          </cell>
          <cell r="CW57">
            <v>0</v>
          </cell>
          <cell r="CX57">
            <v>0</v>
          </cell>
          <cell r="CZ57">
            <v>0</v>
          </cell>
          <cell r="DC57">
            <v>0</v>
          </cell>
          <cell r="DD57">
            <v>16280.858164054447</v>
          </cell>
          <cell r="DE57">
            <v>3183.3400378953506</v>
          </cell>
          <cell r="DF57">
            <v>856.11742475261747</v>
          </cell>
          <cell r="DG57">
            <v>0</v>
          </cell>
          <cell r="DH57">
            <v>0</v>
          </cell>
          <cell r="DI57">
            <v>20320.315626702417</v>
          </cell>
          <cell r="DJ57">
            <v>0</v>
          </cell>
          <cell r="DK57">
            <v>7762.5</v>
          </cell>
          <cell r="DL57">
            <v>3128.03</v>
          </cell>
          <cell r="DM57">
            <v>70073.495851086889</v>
          </cell>
          <cell r="DN57">
            <v>0</v>
          </cell>
          <cell r="DO57">
            <v>0</v>
          </cell>
          <cell r="DP57">
            <v>0</v>
          </cell>
          <cell r="DQ57">
            <v>80964.025851086888</v>
          </cell>
          <cell r="DR57">
            <v>0</v>
          </cell>
          <cell r="DS57">
            <v>0</v>
          </cell>
          <cell r="DT57">
            <v>0</v>
          </cell>
          <cell r="DU57">
            <v>0</v>
          </cell>
          <cell r="DV57">
            <v>0</v>
          </cell>
          <cell r="DW57">
            <v>0</v>
          </cell>
          <cell r="DX57">
            <v>0</v>
          </cell>
          <cell r="DY57">
            <v>1960.7036654406311</v>
          </cell>
          <cell r="DZ57">
            <v>0</v>
          </cell>
          <cell r="EA57">
            <v>0</v>
          </cell>
          <cell r="EB57">
            <v>1960.7036654406311</v>
          </cell>
          <cell r="EE57">
            <v>0</v>
          </cell>
          <cell r="EH57">
            <v>0</v>
          </cell>
          <cell r="EI57">
            <v>0</v>
          </cell>
          <cell r="EK57">
            <v>0</v>
          </cell>
          <cell r="EL57">
            <v>0</v>
          </cell>
          <cell r="EM57">
            <v>0</v>
          </cell>
          <cell r="EO57">
            <v>0</v>
          </cell>
          <cell r="EP57">
            <v>0</v>
          </cell>
          <cell r="EQ57">
            <v>0</v>
          </cell>
          <cell r="ER57">
            <v>754566.96381574194</v>
          </cell>
          <cell r="ET57">
            <v>233</v>
          </cell>
          <cell r="EU57">
            <v>3238.4848232435274</v>
          </cell>
          <cell r="EV57" t="str">
            <v>No Variation Applied</v>
          </cell>
          <cell r="EW57">
            <v>9000</v>
          </cell>
          <cell r="EX57">
            <v>0</v>
          </cell>
          <cell r="EY57">
            <v>0</v>
          </cell>
          <cell r="EZ57">
            <v>30235.25155501988</v>
          </cell>
        </row>
        <row r="58">
          <cell r="C58" t="str">
            <v>Portway Junior School</v>
          </cell>
          <cell r="D58">
            <v>2440</v>
          </cell>
          <cell r="F58" t="str">
            <v/>
          </cell>
          <cell r="G58">
            <v>0</v>
          </cell>
          <cell r="H58">
            <v>0</v>
          </cell>
          <cell r="I58">
            <v>0</v>
          </cell>
          <cell r="J58">
            <v>0</v>
          </cell>
          <cell r="L58">
            <v>0</v>
          </cell>
          <cell r="M58">
            <v>0</v>
          </cell>
          <cell r="N58">
            <v>0</v>
          </cell>
          <cell r="S58">
            <v>0</v>
          </cell>
          <cell r="T58">
            <v>0</v>
          </cell>
          <cell r="U58">
            <v>0</v>
          </cell>
          <cell r="Y58">
            <v>0</v>
          </cell>
          <cell r="Z58">
            <v>0</v>
          </cell>
          <cell r="AA58">
            <v>79</v>
          </cell>
          <cell r="AB58">
            <v>53</v>
          </cell>
          <cell r="AC58">
            <v>78</v>
          </cell>
          <cell r="AD58">
            <v>62</v>
          </cell>
          <cell r="AK58">
            <v>698850.45103578374</v>
          </cell>
          <cell r="AL58">
            <v>272</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5520.78</v>
          </cell>
          <cell r="CL58">
            <v>3812.878269418447</v>
          </cell>
          <cell r="CM58">
            <v>9333.6582694184472</v>
          </cell>
          <cell r="CQ58">
            <v>2285.1928783382787</v>
          </cell>
          <cell r="CR58">
            <v>1004.86</v>
          </cell>
          <cell r="CS58">
            <v>1010.4263007562949</v>
          </cell>
          <cell r="CT58">
            <v>4300.4791790945737</v>
          </cell>
          <cell r="CU58">
            <v>9009.7162530623336</v>
          </cell>
          <cell r="CV58">
            <v>0</v>
          </cell>
          <cell r="CW58">
            <v>9009.7162530623336</v>
          </cell>
          <cell r="CX58">
            <v>0</v>
          </cell>
          <cell r="CZ58">
            <v>0</v>
          </cell>
          <cell r="DC58">
            <v>0</v>
          </cell>
          <cell r="DD58">
            <v>29921.975738103691</v>
          </cell>
          <cell r="DE58">
            <v>5229.7729193995046</v>
          </cell>
          <cell r="DF58">
            <v>1712.2348495052349</v>
          </cell>
          <cell r="DG58">
            <v>0</v>
          </cell>
          <cell r="DH58">
            <v>0</v>
          </cell>
          <cell r="DI58">
            <v>36863.98350700843</v>
          </cell>
          <cell r="DJ58">
            <v>0</v>
          </cell>
          <cell r="DK58">
            <v>31831</v>
          </cell>
          <cell r="DL58">
            <v>3895.73</v>
          </cell>
          <cell r="DM58">
            <v>70073.495851086889</v>
          </cell>
          <cell r="DN58">
            <v>0</v>
          </cell>
          <cell r="DO58">
            <v>0</v>
          </cell>
          <cell r="DP58">
            <v>0</v>
          </cell>
          <cell r="DQ58">
            <v>105800.2258510869</v>
          </cell>
          <cell r="DR58">
            <v>0</v>
          </cell>
          <cell r="DS58">
            <v>0</v>
          </cell>
          <cell r="DT58">
            <v>0</v>
          </cell>
          <cell r="DU58">
            <v>0</v>
          </cell>
          <cell r="DV58">
            <v>0</v>
          </cell>
          <cell r="DW58">
            <v>0</v>
          </cell>
          <cell r="DX58">
            <v>0</v>
          </cell>
          <cell r="DY58">
            <v>1960.7036654406311</v>
          </cell>
          <cell r="DZ58">
            <v>0</v>
          </cell>
          <cell r="EA58">
            <v>0</v>
          </cell>
          <cell r="EB58">
            <v>1960.7036654406311</v>
          </cell>
          <cell r="EE58">
            <v>0</v>
          </cell>
          <cell r="EH58">
            <v>0</v>
          </cell>
          <cell r="EI58">
            <v>0</v>
          </cell>
          <cell r="EK58">
            <v>0</v>
          </cell>
          <cell r="EL58">
            <v>1752</v>
          </cell>
          <cell r="EM58">
            <v>0</v>
          </cell>
          <cell r="EO58">
            <v>1752</v>
          </cell>
          <cell r="EP58">
            <v>17164.025855861721</v>
          </cell>
          <cell r="EQ58">
            <v>0</v>
          </cell>
          <cell r="ER58">
            <v>885035.24361675675</v>
          </cell>
          <cell r="ET58">
            <v>272</v>
          </cell>
          <cell r="EU58">
            <v>3253.8060427086643</v>
          </cell>
          <cell r="EV58" t="str">
            <v>No Variation Applied</v>
          </cell>
          <cell r="EW58">
            <v>19800</v>
          </cell>
          <cell r="EX58">
            <v>0</v>
          </cell>
          <cell r="EY58">
            <v>0</v>
          </cell>
          <cell r="EZ58">
            <v>57303.42726788664</v>
          </cell>
        </row>
        <row r="59">
          <cell r="C59" t="str">
            <v>Alvaston Junior School</v>
          </cell>
          <cell r="D59">
            <v>2442</v>
          </cell>
          <cell r="F59" t="str">
            <v/>
          </cell>
          <cell r="G59">
            <v>0</v>
          </cell>
          <cell r="H59">
            <v>0</v>
          </cell>
          <cell r="I59">
            <v>0</v>
          </cell>
          <cell r="J59">
            <v>0</v>
          </cell>
          <cell r="L59">
            <v>0</v>
          </cell>
          <cell r="M59">
            <v>0</v>
          </cell>
          <cell r="N59">
            <v>0</v>
          </cell>
          <cell r="S59">
            <v>0</v>
          </cell>
          <cell r="T59">
            <v>0</v>
          </cell>
          <cell r="U59">
            <v>0</v>
          </cell>
          <cell r="Y59">
            <v>0</v>
          </cell>
          <cell r="Z59">
            <v>0</v>
          </cell>
          <cell r="AA59">
            <v>82</v>
          </cell>
          <cell r="AB59">
            <v>75</v>
          </cell>
          <cell r="AC59">
            <v>69</v>
          </cell>
          <cell r="AD59">
            <v>69</v>
          </cell>
          <cell r="AK59">
            <v>757944.42299836839</v>
          </cell>
          <cell r="AL59">
            <v>295</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I59">
            <v>0</v>
          </cell>
          <cell r="CJ59">
            <v>0</v>
          </cell>
          <cell r="CK59">
            <v>5987.61</v>
          </cell>
          <cell r="CL59">
            <v>2109.3950668099533</v>
          </cell>
          <cell r="CM59">
            <v>8097.005066809953</v>
          </cell>
          <cell r="CQ59">
            <v>6093.8476755687434</v>
          </cell>
          <cell r="CR59">
            <v>2612.63</v>
          </cell>
          <cell r="CS59">
            <v>4445.8757233276974</v>
          </cell>
          <cell r="CT59">
            <v>13152.353398896441</v>
          </cell>
          <cell r="CU59">
            <v>4254.5882306127687</v>
          </cell>
          <cell r="CV59">
            <v>9009.7162530623336</v>
          </cell>
          <cell r="CW59">
            <v>13264.304483675103</v>
          </cell>
          <cell r="CX59">
            <v>184491.52137222089</v>
          </cell>
          <cell r="CZ59">
            <v>184491.52137222089</v>
          </cell>
          <cell r="DC59">
            <v>0</v>
          </cell>
          <cell r="DD59">
            <v>113154.91367100524</v>
          </cell>
          <cell r="DE59">
            <v>93908.531117912833</v>
          </cell>
          <cell r="DF59">
            <v>8561.1742475261744</v>
          </cell>
          <cell r="DG59">
            <v>0</v>
          </cell>
          <cell r="DH59">
            <v>0</v>
          </cell>
          <cell r="DI59">
            <v>215624.61903644426</v>
          </cell>
          <cell r="DJ59">
            <v>0</v>
          </cell>
          <cell r="DK59">
            <v>13282</v>
          </cell>
          <cell r="DL59">
            <v>8271.5499999999993</v>
          </cell>
          <cell r="DM59">
            <v>70073.495851086889</v>
          </cell>
          <cell r="DN59">
            <v>0</v>
          </cell>
          <cell r="DO59">
            <v>0</v>
          </cell>
          <cell r="DP59">
            <v>0</v>
          </cell>
          <cell r="DQ59">
            <v>91627.045851086892</v>
          </cell>
          <cell r="DR59">
            <v>0</v>
          </cell>
          <cell r="DS59">
            <v>0</v>
          </cell>
          <cell r="DT59">
            <v>0</v>
          </cell>
          <cell r="DU59">
            <v>0</v>
          </cell>
          <cell r="DV59">
            <v>0</v>
          </cell>
          <cell r="DW59">
            <v>0</v>
          </cell>
          <cell r="DX59">
            <v>0</v>
          </cell>
          <cell r="DY59">
            <v>5882.1109963218933</v>
          </cell>
          <cell r="DZ59">
            <v>0</v>
          </cell>
          <cell r="EA59">
            <v>0</v>
          </cell>
          <cell r="EB59">
            <v>5882.1109963218933</v>
          </cell>
          <cell r="EE59">
            <v>0</v>
          </cell>
          <cell r="EH59">
            <v>0</v>
          </cell>
          <cell r="EI59">
            <v>0</v>
          </cell>
          <cell r="EK59">
            <v>0</v>
          </cell>
          <cell r="EL59">
            <v>0</v>
          </cell>
          <cell r="EM59">
            <v>0</v>
          </cell>
          <cell r="EO59">
            <v>0</v>
          </cell>
          <cell r="EP59">
            <v>0</v>
          </cell>
          <cell r="EQ59">
            <v>0</v>
          </cell>
          <cell r="ER59">
            <v>1290083.3832038238</v>
          </cell>
          <cell r="ET59">
            <v>295</v>
          </cell>
          <cell r="EU59">
            <v>4373.1640108604197</v>
          </cell>
          <cell r="EV59" t="str">
            <v>No Variation Applied</v>
          </cell>
          <cell r="EW59">
            <v>66850</v>
          </cell>
          <cell r="EX59">
            <v>0</v>
          </cell>
          <cell r="EY59">
            <v>0</v>
          </cell>
          <cell r="EZ59">
            <v>346433.95629048627</v>
          </cell>
        </row>
        <row r="60">
          <cell r="C60" t="str">
            <v>Alvaston Infant and Nursery School</v>
          </cell>
          <cell r="D60">
            <v>2443</v>
          </cell>
          <cell r="F60" t="str">
            <v/>
          </cell>
          <cell r="G60">
            <v>0</v>
          </cell>
          <cell r="H60">
            <v>29190</v>
          </cell>
          <cell r="I60">
            <v>0</v>
          </cell>
          <cell r="J60">
            <v>0</v>
          </cell>
          <cell r="L60">
            <v>102060.82793781464</v>
          </cell>
          <cell r="M60">
            <v>29190</v>
          </cell>
          <cell r="N60">
            <v>30.726315789473684</v>
          </cell>
          <cell r="S60">
            <v>0</v>
          </cell>
          <cell r="T60">
            <v>0</v>
          </cell>
          <cell r="U60">
            <v>90</v>
          </cell>
          <cell r="Y60">
            <v>90</v>
          </cell>
          <cell r="Z60">
            <v>82</v>
          </cell>
          <cell r="AA60">
            <v>0</v>
          </cell>
          <cell r="AB60">
            <v>0</v>
          </cell>
          <cell r="AC60">
            <v>0</v>
          </cell>
          <cell r="AD60">
            <v>0</v>
          </cell>
          <cell r="AK60">
            <v>683066.83566317311</v>
          </cell>
          <cell r="AL60">
            <v>262</v>
          </cell>
          <cell r="BS60">
            <v>9284.16</v>
          </cell>
          <cell r="BT60">
            <v>0</v>
          </cell>
          <cell r="BU60">
            <v>0</v>
          </cell>
          <cell r="BV60">
            <v>0</v>
          </cell>
          <cell r="BW60">
            <v>0</v>
          </cell>
          <cell r="BX60">
            <v>-4287.4839999999967</v>
          </cell>
          <cell r="BY60">
            <v>0</v>
          </cell>
          <cell r="BZ60">
            <v>1003.8498</v>
          </cell>
          <cell r="CA60">
            <v>0</v>
          </cell>
          <cell r="CB60">
            <v>0</v>
          </cell>
          <cell r="CC60">
            <v>0</v>
          </cell>
          <cell r="CD60">
            <v>0</v>
          </cell>
          <cell r="CE60">
            <v>6000.5258000000031</v>
          </cell>
          <cell r="CF60">
            <v>34020.916695056439</v>
          </cell>
          <cell r="CI60">
            <v>0</v>
          </cell>
          <cell r="CJ60">
            <v>0</v>
          </cell>
          <cell r="CK60">
            <v>5317.81</v>
          </cell>
          <cell r="CL60">
            <v>2076.6912673245274</v>
          </cell>
          <cell r="CM60">
            <v>41415.417962380961</v>
          </cell>
          <cell r="CQ60">
            <v>761.73095944609292</v>
          </cell>
          <cell r="CR60">
            <v>2813.6</v>
          </cell>
          <cell r="CS60">
            <v>5052.1315037814747</v>
          </cell>
          <cell r="CT60">
            <v>8627.4624632275682</v>
          </cell>
          <cell r="CU60">
            <v>13014.034587756705</v>
          </cell>
          <cell r="CV60">
            <v>0</v>
          </cell>
          <cell r="CW60">
            <v>13014.034587756705</v>
          </cell>
          <cell r="CX60">
            <v>0</v>
          </cell>
          <cell r="CZ60">
            <v>0</v>
          </cell>
          <cell r="DC60">
            <v>0</v>
          </cell>
          <cell r="DD60">
            <v>90532.779229284657</v>
          </cell>
          <cell r="DE60">
            <v>79810.882378662005</v>
          </cell>
          <cell r="DF60">
            <v>5136.704548515705</v>
          </cell>
          <cell r="DG60">
            <v>0</v>
          </cell>
          <cell r="DH60">
            <v>0</v>
          </cell>
          <cell r="DI60">
            <v>175480.36615646238</v>
          </cell>
          <cell r="DJ60">
            <v>0</v>
          </cell>
          <cell r="DK60">
            <v>13282</v>
          </cell>
          <cell r="DL60">
            <v>3171.21</v>
          </cell>
          <cell r="DM60">
            <v>70073.495851086889</v>
          </cell>
          <cell r="DN60">
            <v>0</v>
          </cell>
          <cell r="DO60">
            <v>0</v>
          </cell>
          <cell r="DP60">
            <v>0</v>
          </cell>
          <cell r="DQ60">
            <v>86526.705851086881</v>
          </cell>
          <cell r="DR60">
            <v>0</v>
          </cell>
          <cell r="DS60">
            <v>0</v>
          </cell>
          <cell r="DT60">
            <v>0</v>
          </cell>
          <cell r="DU60">
            <v>0</v>
          </cell>
          <cell r="DV60">
            <v>0</v>
          </cell>
          <cell r="DW60">
            <v>0</v>
          </cell>
          <cell r="DX60">
            <v>0</v>
          </cell>
          <cell r="DY60">
            <v>2941.0554981609466</v>
          </cell>
          <cell r="DZ60">
            <v>0</v>
          </cell>
          <cell r="EA60">
            <v>0</v>
          </cell>
          <cell r="EB60">
            <v>2941.0554981609466</v>
          </cell>
          <cell r="EE60">
            <v>0</v>
          </cell>
          <cell r="EH60">
            <v>0</v>
          </cell>
          <cell r="EI60">
            <v>0</v>
          </cell>
          <cell r="EK60">
            <v>0</v>
          </cell>
          <cell r="EL60">
            <v>4254</v>
          </cell>
          <cell r="EM60">
            <v>0</v>
          </cell>
          <cell r="EO60">
            <v>4254</v>
          </cell>
          <cell r="EP60">
            <v>0</v>
          </cell>
          <cell r="EQ60">
            <v>108061.35373781464</v>
          </cell>
          <cell r="ER60">
            <v>1123387.231920063</v>
          </cell>
          <cell r="ET60">
            <v>292.72631578947369</v>
          </cell>
          <cell r="EU60">
            <v>3837.6707911973099</v>
          </cell>
          <cell r="EV60" t="str">
            <v>No Variation Applied</v>
          </cell>
          <cell r="EW60">
            <v>38050</v>
          </cell>
          <cell r="EX60">
            <v>0</v>
          </cell>
          <cell r="EY60">
            <v>0</v>
          </cell>
          <cell r="EZ60">
            <v>127193.05939323893</v>
          </cell>
        </row>
        <row r="61">
          <cell r="C61" t="str">
            <v>Shelton Infant School</v>
          </cell>
          <cell r="D61">
            <v>2444</v>
          </cell>
          <cell r="F61" t="str">
            <v/>
          </cell>
          <cell r="G61">
            <v>0</v>
          </cell>
          <cell r="H61">
            <v>29568</v>
          </cell>
          <cell r="I61">
            <v>0</v>
          </cell>
          <cell r="J61">
            <v>0</v>
          </cell>
          <cell r="L61">
            <v>103382.4789470813</v>
          </cell>
          <cell r="M61">
            <v>29568</v>
          </cell>
          <cell r="N61">
            <v>31.124210526315789</v>
          </cell>
          <cell r="S61">
            <v>0</v>
          </cell>
          <cell r="T61">
            <v>0</v>
          </cell>
          <cell r="U61">
            <v>70</v>
          </cell>
          <cell r="Y61">
            <v>70</v>
          </cell>
          <cell r="Z61">
            <v>69</v>
          </cell>
          <cell r="AA61">
            <v>0</v>
          </cell>
          <cell r="AB61">
            <v>0</v>
          </cell>
          <cell r="AC61">
            <v>0</v>
          </cell>
          <cell r="AD61">
            <v>0</v>
          </cell>
          <cell r="AK61">
            <v>544070.3706695314</v>
          </cell>
          <cell r="AL61">
            <v>209</v>
          </cell>
          <cell r="BS61">
            <v>10583.942400000002</v>
          </cell>
          <cell r="BT61">
            <v>0</v>
          </cell>
          <cell r="BU61">
            <v>464.20800000000003</v>
          </cell>
          <cell r="BV61">
            <v>0</v>
          </cell>
          <cell r="BW61">
            <v>0</v>
          </cell>
          <cell r="BX61">
            <v>-4943.4777999999933</v>
          </cell>
          <cell r="BY61">
            <v>0</v>
          </cell>
          <cell r="BZ61">
            <v>2007.6995999999999</v>
          </cell>
          <cell r="CA61">
            <v>0</v>
          </cell>
          <cell r="CB61">
            <v>0</v>
          </cell>
          <cell r="CC61">
            <v>0</v>
          </cell>
          <cell r="CD61">
            <v>0</v>
          </cell>
          <cell r="CE61">
            <v>8112.3722000000089</v>
          </cell>
          <cell r="CF61">
            <v>34020.916695056439</v>
          </cell>
          <cell r="CI61">
            <v>0</v>
          </cell>
          <cell r="CJ61">
            <v>0</v>
          </cell>
          <cell r="CK61">
            <v>4242.07</v>
          </cell>
          <cell r="CL61">
            <v>2500.878784179607</v>
          </cell>
          <cell r="CM61">
            <v>40763.865479236047</v>
          </cell>
          <cell r="CQ61">
            <v>2285.1928783382787</v>
          </cell>
          <cell r="CR61">
            <v>2009.71</v>
          </cell>
          <cell r="CS61">
            <v>4041.7052030251798</v>
          </cell>
          <cell r="CT61">
            <v>8336.608081363458</v>
          </cell>
          <cell r="CU61">
            <v>8759.4463571439355</v>
          </cell>
          <cell r="CV61">
            <v>0</v>
          </cell>
          <cell r="CW61">
            <v>8759.4463571439355</v>
          </cell>
          <cell r="CX61">
            <v>0</v>
          </cell>
          <cell r="CZ61">
            <v>0</v>
          </cell>
          <cell r="DC61">
            <v>0</v>
          </cell>
          <cell r="DD61">
            <v>64194.361945769037</v>
          </cell>
          <cell r="DE61">
            <v>77309.68663460137</v>
          </cell>
          <cell r="DF61">
            <v>6848.9393980209397</v>
          </cell>
          <cell r="DG61">
            <v>0</v>
          </cell>
          <cell r="DH61">
            <v>0</v>
          </cell>
          <cell r="DI61">
            <v>148352.98797839135</v>
          </cell>
          <cell r="DJ61">
            <v>0</v>
          </cell>
          <cell r="DK61">
            <v>8816.5</v>
          </cell>
          <cell r="DL61">
            <v>3174.66</v>
          </cell>
          <cell r="DM61">
            <v>70073.495851086889</v>
          </cell>
          <cell r="DN61">
            <v>0</v>
          </cell>
          <cell r="DO61">
            <v>0</v>
          </cell>
          <cell r="DP61">
            <v>0</v>
          </cell>
          <cell r="DQ61">
            <v>82064.655851086893</v>
          </cell>
          <cell r="DR61">
            <v>0</v>
          </cell>
          <cell r="DS61">
            <v>0</v>
          </cell>
          <cell r="DT61">
            <v>0</v>
          </cell>
          <cell r="DU61">
            <v>0</v>
          </cell>
          <cell r="DV61">
            <v>0</v>
          </cell>
          <cell r="DW61">
            <v>0</v>
          </cell>
          <cell r="DX61">
            <v>0</v>
          </cell>
          <cell r="DY61">
            <v>1960.7036654406311</v>
          </cell>
          <cell r="DZ61">
            <v>0</v>
          </cell>
          <cell r="EA61">
            <v>0</v>
          </cell>
          <cell r="EB61">
            <v>1960.7036654406311</v>
          </cell>
          <cell r="EE61">
            <v>0</v>
          </cell>
          <cell r="EH61">
            <v>0</v>
          </cell>
          <cell r="EI61">
            <v>0</v>
          </cell>
          <cell r="EK61">
            <v>0</v>
          </cell>
          <cell r="EL61">
            <v>25466</v>
          </cell>
          <cell r="EM61">
            <v>0</v>
          </cell>
          <cell r="EO61">
            <v>25466</v>
          </cell>
          <cell r="EP61">
            <v>0</v>
          </cell>
          <cell r="EQ61">
            <v>111494.85114708131</v>
          </cell>
          <cell r="ER61">
            <v>971269.48922927491</v>
          </cell>
          <cell r="ET61">
            <v>240.12421052631578</v>
          </cell>
          <cell r="EU61">
            <v>4044.8628112109136</v>
          </cell>
          <cell r="EV61" t="str">
            <v>No Variation Applied</v>
          </cell>
          <cell r="EW61">
            <v>29900</v>
          </cell>
          <cell r="EX61">
            <v>0</v>
          </cell>
          <cell r="EY61">
            <v>0</v>
          </cell>
          <cell r="EZ61">
            <v>97296.539313970992</v>
          </cell>
        </row>
        <row r="62">
          <cell r="C62" t="str">
            <v>Breadsall Hill Top Infant &amp; Nursery School</v>
          </cell>
          <cell r="D62">
            <v>2446</v>
          </cell>
          <cell r="F62" t="str">
            <v/>
          </cell>
          <cell r="G62">
            <v>0</v>
          </cell>
          <cell r="H62">
            <v>29640</v>
          </cell>
          <cell r="I62">
            <v>0</v>
          </cell>
          <cell r="J62">
            <v>0</v>
          </cell>
          <cell r="L62">
            <v>103634.22199646542</v>
          </cell>
          <cell r="M62">
            <v>29640</v>
          </cell>
          <cell r="N62">
            <v>31.2</v>
          </cell>
          <cell r="S62">
            <v>0</v>
          </cell>
          <cell r="T62">
            <v>0</v>
          </cell>
          <cell r="U62">
            <v>53</v>
          </cell>
          <cell r="Y62">
            <v>54</v>
          </cell>
          <cell r="Z62">
            <v>59</v>
          </cell>
          <cell r="AA62">
            <v>0</v>
          </cell>
          <cell r="AB62">
            <v>0</v>
          </cell>
          <cell r="AC62">
            <v>0</v>
          </cell>
          <cell r="AD62">
            <v>0</v>
          </cell>
          <cell r="AK62">
            <v>430946.55089485773</v>
          </cell>
          <cell r="AL62">
            <v>166</v>
          </cell>
          <cell r="BS62">
            <v>10792.835999999999</v>
          </cell>
          <cell r="BT62">
            <v>0</v>
          </cell>
          <cell r="BU62">
            <v>464.20800000000003</v>
          </cell>
          <cell r="BV62">
            <v>0</v>
          </cell>
          <cell r="BW62">
            <v>0</v>
          </cell>
          <cell r="BX62">
            <v>-3324.639599999995</v>
          </cell>
          <cell r="BY62">
            <v>0</v>
          </cell>
          <cell r="BZ62">
            <v>3011.5493999999999</v>
          </cell>
          <cell r="CA62">
            <v>0</v>
          </cell>
          <cell r="CB62">
            <v>0</v>
          </cell>
          <cell r="CC62">
            <v>0</v>
          </cell>
          <cell r="CD62">
            <v>0</v>
          </cell>
          <cell r="CE62">
            <v>10943.953800000005</v>
          </cell>
          <cell r="CF62">
            <v>22680.611130037629</v>
          </cell>
          <cell r="CI62">
            <v>0</v>
          </cell>
          <cell r="CJ62">
            <v>0</v>
          </cell>
          <cell r="CK62">
            <v>3369.3</v>
          </cell>
          <cell r="CL62">
            <v>996.50400785002796</v>
          </cell>
          <cell r="CM62">
            <v>27046.415137887656</v>
          </cell>
          <cell r="CQ62">
            <v>4570.3857566765573</v>
          </cell>
          <cell r="CR62">
            <v>2210.69</v>
          </cell>
          <cell r="CS62">
            <v>2222.9378616638487</v>
          </cell>
          <cell r="CT62">
            <v>9004.0136183404065</v>
          </cell>
          <cell r="CU62">
            <v>4805.1820016332449</v>
          </cell>
          <cell r="CV62">
            <v>0</v>
          </cell>
          <cell r="CW62">
            <v>4805.1820016332449</v>
          </cell>
          <cell r="CX62">
            <v>0</v>
          </cell>
          <cell r="CZ62">
            <v>0</v>
          </cell>
          <cell r="DC62">
            <v>0</v>
          </cell>
          <cell r="DD62">
            <v>71966.11217444358</v>
          </cell>
          <cell r="DE62">
            <v>60483.460720011659</v>
          </cell>
          <cell r="DF62">
            <v>5992.8219732683219</v>
          </cell>
          <cell r="DG62">
            <v>0</v>
          </cell>
          <cell r="DH62">
            <v>0</v>
          </cell>
          <cell r="DI62">
            <v>138442.39486772355</v>
          </cell>
          <cell r="DJ62">
            <v>0</v>
          </cell>
          <cell r="DK62">
            <v>8473</v>
          </cell>
          <cell r="DL62">
            <v>2753.52</v>
          </cell>
          <cell r="DM62">
            <v>74722.185859261808</v>
          </cell>
          <cell r="DN62">
            <v>0</v>
          </cell>
          <cell r="DO62">
            <v>0</v>
          </cell>
          <cell r="DP62">
            <v>0</v>
          </cell>
          <cell r="DQ62">
            <v>85948.705859261812</v>
          </cell>
          <cell r="DR62">
            <v>0</v>
          </cell>
          <cell r="DS62">
            <v>0</v>
          </cell>
          <cell r="DT62">
            <v>0</v>
          </cell>
          <cell r="DU62">
            <v>0</v>
          </cell>
          <cell r="DV62">
            <v>0</v>
          </cell>
          <cell r="DW62">
            <v>0</v>
          </cell>
          <cell r="DX62">
            <v>0</v>
          </cell>
          <cell r="DY62">
            <v>2941.0554981609466</v>
          </cell>
          <cell r="DZ62">
            <v>0</v>
          </cell>
          <cell r="EA62">
            <v>0</v>
          </cell>
          <cell r="EB62">
            <v>2941.0554981609466</v>
          </cell>
          <cell r="EE62">
            <v>0</v>
          </cell>
          <cell r="EH62">
            <v>0</v>
          </cell>
          <cell r="EI62">
            <v>0</v>
          </cell>
          <cell r="EK62">
            <v>0</v>
          </cell>
          <cell r="EL62">
            <v>0</v>
          </cell>
          <cell r="EM62">
            <v>0</v>
          </cell>
          <cell r="EO62">
            <v>0</v>
          </cell>
          <cell r="EP62">
            <v>0</v>
          </cell>
          <cell r="EQ62">
            <v>114578.17579646542</v>
          </cell>
          <cell r="ER62">
            <v>813712.49367433088</v>
          </cell>
          <cell r="ET62">
            <v>197.2</v>
          </cell>
          <cell r="EU62">
            <v>4126.3311038252077</v>
          </cell>
          <cell r="EV62" t="str">
            <v>No Variation Applied</v>
          </cell>
          <cell r="EW62">
            <v>30150</v>
          </cell>
          <cell r="EX62">
            <v>0</v>
          </cell>
          <cell r="EY62">
            <v>0</v>
          </cell>
          <cell r="EZ62">
            <v>102924.6940859858</v>
          </cell>
        </row>
        <row r="63">
          <cell r="C63" t="str">
            <v>Breadsall Hill Top Junior School</v>
          </cell>
          <cell r="D63">
            <v>2447</v>
          </cell>
          <cell r="F63" t="str">
            <v/>
          </cell>
          <cell r="G63">
            <v>0</v>
          </cell>
          <cell r="H63">
            <v>0</v>
          </cell>
          <cell r="I63">
            <v>0</v>
          </cell>
          <cell r="J63">
            <v>0</v>
          </cell>
          <cell r="L63">
            <v>0</v>
          </cell>
          <cell r="M63">
            <v>0</v>
          </cell>
          <cell r="N63">
            <v>0</v>
          </cell>
          <cell r="S63">
            <v>0</v>
          </cell>
          <cell r="T63">
            <v>0</v>
          </cell>
          <cell r="U63">
            <v>0</v>
          </cell>
          <cell r="Y63">
            <v>0</v>
          </cell>
          <cell r="Z63">
            <v>0</v>
          </cell>
          <cell r="AA63">
            <v>54</v>
          </cell>
          <cell r="AB63">
            <v>56</v>
          </cell>
          <cell r="AC63">
            <v>46</v>
          </cell>
          <cell r="AD63">
            <v>57</v>
          </cell>
          <cell r="AK63">
            <v>547261.56643611006</v>
          </cell>
          <cell r="AL63">
            <v>213</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I63">
            <v>0</v>
          </cell>
          <cell r="CJ63">
            <v>0</v>
          </cell>
          <cell r="CK63">
            <v>4323.26</v>
          </cell>
          <cell r="CL63">
            <v>2019.9405564527594</v>
          </cell>
          <cell r="CM63">
            <v>6343.2005564527599</v>
          </cell>
          <cell r="CQ63">
            <v>3046.9238377843717</v>
          </cell>
          <cell r="CR63">
            <v>1607.77</v>
          </cell>
          <cell r="CS63">
            <v>2425.0231218151075</v>
          </cell>
          <cell r="CT63">
            <v>7079.7169595994792</v>
          </cell>
          <cell r="CU63">
            <v>0</v>
          </cell>
          <cell r="CV63">
            <v>0</v>
          </cell>
          <cell r="CW63">
            <v>0</v>
          </cell>
          <cell r="CX63">
            <v>0</v>
          </cell>
          <cell r="CZ63">
            <v>0</v>
          </cell>
          <cell r="DC63">
            <v>0</v>
          </cell>
          <cell r="DD63">
            <v>91373.367014928779</v>
          </cell>
          <cell r="DE63">
            <v>76400.160909488404</v>
          </cell>
          <cell r="DF63">
            <v>10273.40909703141</v>
          </cell>
          <cell r="DG63">
            <v>0</v>
          </cell>
          <cell r="DH63">
            <v>0</v>
          </cell>
          <cell r="DI63">
            <v>178046.93702144857</v>
          </cell>
          <cell r="DJ63">
            <v>0</v>
          </cell>
          <cell r="DK63">
            <v>8473</v>
          </cell>
          <cell r="DL63">
            <v>4015.17</v>
          </cell>
          <cell r="DM63">
            <v>70073.495851086889</v>
          </cell>
          <cell r="DN63">
            <v>0</v>
          </cell>
          <cell r="DO63">
            <v>0</v>
          </cell>
          <cell r="DP63">
            <v>0</v>
          </cell>
          <cell r="DQ63">
            <v>82561.665851086887</v>
          </cell>
          <cell r="DR63">
            <v>0</v>
          </cell>
          <cell r="DS63">
            <v>0</v>
          </cell>
          <cell r="DT63">
            <v>0</v>
          </cell>
          <cell r="DU63">
            <v>0</v>
          </cell>
          <cell r="DV63">
            <v>0</v>
          </cell>
          <cell r="DW63">
            <v>0</v>
          </cell>
          <cell r="DX63">
            <v>0</v>
          </cell>
          <cell r="DY63">
            <v>2614.2715539208416</v>
          </cell>
          <cell r="DZ63">
            <v>0</v>
          </cell>
          <cell r="EA63">
            <v>0</v>
          </cell>
          <cell r="EB63">
            <v>2614.2715539208416</v>
          </cell>
          <cell r="EE63">
            <v>0</v>
          </cell>
          <cell r="EH63">
            <v>0</v>
          </cell>
          <cell r="EI63">
            <v>0</v>
          </cell>
          <cell r="EK63">
            <v>0</v>
          </cell>
          <cell r="EL63">
            <v>1001</v>
          </cell>
          <cell r="EM63">
            <v>0</v>
          </cell>
          <cell r="EO63">
            <v>1001</v>
          </cell>
          <cell r="EP63">
            <v>9044.6920742323855</v>
          </cell>
          <cell r="EQ63">
            <v>0</v>
          </cell>
          <cell r="ER63">
            <v>833953.05045285088</v>
          </cell>
          <cell r="ET63">
            <v>213</v>
          </cell>
          <cell r="EU63">
            <v>3915.2725373373282</v>
          </cell>
          <cell r="EV63" t="str">
            <v>No Variation Applied</v>
          </cell>
          <cell r="EW63">
            <v>55200</v>
          </cell>
          <cell r="EX63">
            <v>0</v>
          </cell>
          <cell r="EY63">
            <v>0</v>
          </cell>
          <cell r="EZ63">
            <v>117849.79461826822</v>
          </cell>
        </row>
        <row r="64">
          <cell r="C64" t="str">
            <v>Cavendish Close Junior School</v>
          </cell>
          <cell r="D64">
            <v>2448</v>
          </cell>
          <cell r="F64" t="str">
            <v/>
          </cell>
          <cell r="G64">
            <v>0</v>
          </cell>
          <cell r="H64">
            <v>0</v>
          </cell>
          <cell r="I64">
            <v>0</v>
          </cell>
          <cell r="J64">
            <v>0</v>
          </cell>
          <cell r="L64">
            <v>0</v>
          </cell>
          <cell r="M64">
            <v>0</v>
          </cell>
          <cell r="N64">
            <v>0</v>
          </cell>
          <cell r="S64">
            <v>0</v>
          </cell>
          <cell r="T64">
            <v>0</v>
          </cell>
          <cell r="U64">
            <v>0</v>
          </cell>
          <cell r="Y64">
            <v>0</v>
          </cell>
          <cell r="Z64">
            <v>0</v>
          </cell>
          <cell r="AA64">
            <v>77</v>
          </cell>
          <cell r="AB64">
            <v>71</v>
          </cell>
          <cell r="AC64">
            <v>80</v>
          </cell>
          <cell r="AD64">
            <v>90</v>
          </cell>
          <cell r="AK64">
            <v>817038.39496095316</v>
          </cell>
          <cell r="AL64">
            <v>318</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I64">
            <v>0</v>
          </cell>
          <cell r="CJ64">
            <v>0</v>
          </cell>
          <cell r="CK64">
            <v>6454.45</v>
          </cell>
          <cell r="CL64">
            <v>3143.4122564226755</v>
          </cell>
          <cell r="CM64">
            <v>9597.8622564226753</v>
          </cell>
          <cell r="CQ64">
            <v>3808.6547972304647</v>
          </cell>
          <cell r="CR64">
            <v>2411.66</v>
          </cell>
          <cell r="CS64">
            <v>808.34104060503591</v>
          </cell>
          <cell r="CT64">
            <v>7028.6558378355012</v>
          </cell>
          <cell r="CU64">
            <v>18144.567454083866</v>
          </cell>
          <cell r="CV64">
            <v>0</v>
          </cell>
          <cell r="CW64">
            <v>18144.567454083866</v>
          </cell>
          <cell r="CX64">
            <v>0</v>
          </cell>
          <cell r="CZ64">
            <v>0</v>
          </cell>
          <cell r="DC64">
            <v>0</v>
          </cell>
          <cell r="DD64">
            <v>89987.134526322698</v>
          </cell>
          <cell r="DE64">
            <v>48659.626293543217</v>
          </cell>
          <cell r="DF64">
            <v>5992.8219732683219</v>
          </cell>
          <cell r="DG64">
            <v>0</v>
          </cell>
          <cell r="DH64">
            <v>0</v>
          </cell>
          <cell r="DI64">
            <v>144639.58279313424</v>
          </cell>
          <cell r="DJ64">
            <v>0</v>
          </cell>
          <cell r="DK64">
            <v>16373.5</v>
          </cell>
          <cell r="DL64">
            <v>5743.66</v>
          </cell>
          <cell r="DM64">
            <v>70073.495851086889</v>
          </cell>
          <cell r="DN64">
            <v>0</v>
          </cell>
          <cell r="DO64">
            <v>0</v>
          </cell>
          <cell r="DP64">
            <v>0</v>
          </cell>
          <cell r="DQ64">
            <v>92190.655851086893</v>
          </cell>
          <cell r="DR64">
            <v>0</v>
          </cell>
          <cell r="DS64">
            <v>0</v>
          </cell>
          <cell r="DT64">
            <v>0</v>
          </cell>
          <cell r="DU64">
            <v>0</v>
          </cell>
          <cell r="DV64">
            <v>0</v>
          </cell>
          <cell r="DW64">
            <v>0</v>
          </cell>
          <cell r="DX64">
            <v>0</v>
          </cell>
          <cell r="DY64">
            <v>2287.4876096807366</v>
          </cell>
          <cell r="DZ64">
            <v>0</v>
          </cell>
          <cell r="EA64">
            <v>0</v>
          </cell>
          <cell r="EB64">
            <v>2287.4876096807366</v>
          </cell>
          <cell r="EE64">
            <v>0</v>
          </cell>
          <cell r="EH64">
            <v>0</v>
          </cell>
          <cell r="EI64">
            <v>0</v>
          </cell>
          <cell r="EK64">
            <v>0</v>
          </cell>
          <cell r="EL64">
            <v>0</v>
          </cell>
          <cell r="EM64">
            <v>0</v>
          </cell>
          <cell r="EO64">
            <v>0</v>
          </cell>
          <cell r="EP64">
            <v>19394.120072483551</v>
          </cell>
          <cell r="EQ64">
            <v>0</v>
          </cell>
          <cell r="ER64">
            <v>1110321.3268356805</v>
          </cell>
          <cell r="ET64">
            <v>318</v>
          </cell>
          <cell r="EU64">
            <v>3491.5764994832721</v>
          </cell>
          <cell r="EV64" t="str">
            <v>No Variation Applied</v>
          </cell>
          <cell r="EW64">
            <v>58200</v>
          </cell>
          <cell r="EX64">
            <v>0</v>
          </cell>
          <cell r="EY64">
            <v>0</v>
          </cell>
          <cell r="EZ64">
            <v>135970.49016548606</v>
          </cell>
        </row>
        <row r="65">
          <cell r="C65" t="str">
            <v>Cavendish Close Infant School</v>
          </cell>
          <cell r="D65">
            <v>2449</v>
          </cell>
          <cell r="F65" t="str">
            <v/>
          </cell>
          <cell r="G65">
            <v>0</v>
          </cell>
          <cell r="H65">
            <v>44280</v>
          </cell>
          <cell r="I65">
            <v>0</v>
          </cell>
          <cell r="J65">
            <v>0</v>
          </cell>
          <cell r="L65">
            <v>154821.97537123782</v>
          </cell>
          <cell r="M65">
            <v>44280</v>
          </cell>
          <cell r="N65">
            <v>46.610526315789471</v>
          </cell>
          <cell r="S65">
            <v>0</v>
          </cell>
          <cell r="T65">
            <v>0</v>
          </cell>
          <cell r="U65">
            <v>90</v>
          </cell>
          <cell r="Y65">
            <v>82</v>
          </cell>
          <cell r="Z65">
            <v>88</v>
          </cell>
          <cell r="AA65">
            <v>0</v>
          </cell>
          <cell r="AB65">
            <v>0</v>
          </cell>
          <cell r="AC65">
            <v>0</v>
          </cell>
          <cell r="AD65">
            <v>0</v>
          </cell>
          <cell r="AK65">
            <v>678166.17666812742</v>
          </cell>
          <cell r="AL65">
            <v>260</v>
          </cell>
          <cell r="BS65">
            <v>4642.08</v>
          </cell>
          <cell r="BT65">
            <v>0</v>
          </cell>
          <cell r="BU65">
            <v>348.15600000000001</v>
          </cell>
          <cell r="BV65">
            <v>0</v>
          </cell>
          <cell r="BW65">
            <v>0</v>
          </cell>
          <cell r="BX65">
            <v>-7216.5017999999982</v>
          </cell>
          <cell r="BY65">
            <v>0</v>
          </cell>
          <cell r="BZ65">
            <v>4015.3991999999998</v>
          </cell>
          <cell r="CA65">
            <v>0</v>
          </cell>
          <cell r="CB65">
            <v>0</v>
          </cell>
          <cell r="CC65">
            <v>0</v>
          </cell>
          <cell r="CD65">
            <v>0</v>
          </cell>
          <cell r="CE65">
            <v>1789.1334000000015</v>
          </cell>
          <cell r="CF65">
            <v>34020.916695056439</v>
          </cell>
          <cell r="CI65">
            <v>0</v>
          </cell>
          <cell r="CJ65">
            <v>0</v>
          </cell>
          <cell r="CK65">
            <v>5277.22</v>
          </cell>
          <cell r="CL65">
            <v>2962.5794827973805</v>
          </cell>
          <cell r="CM65">
            <v>42260.716177853821</v>
          </cell>
          <cell r="CQ65">
            <v>7617.3095944609295</v>
          </cell>
          <cell r="CR65">
            <v>2210.69</v>
          </cell>
          <cell r="CS65">
            <v>2020.8526015125899</v>
          </cell>
          <cell r="CT65">
            <v>11848.852195973519</v>
          </cell>
          <cell r="CU65">
            <v>4379.7231785719678</v>
          </cell>
          <cell r="CV65">
            <v>0</v>
          </cell>
          <cell r="CW65">
            <v>4379.7231785719678</v>
          </cell>
          <cell r="CX65">
            <v>0</v>
          </cell>
          <cell r="CZ65">
            <v>0</v>
          </cell>
          <cell r="DC65">
            <v>0</v>
          </cell>
          <cell r="DD65">
            <v>78100.928294232217</v>
          </cell>
          <cell r="DE65">
            <v>41156.03906136132</v>
          </cell>
          <cell r="DF65">
            <v>4280.5871237630872</v>
          </cell>
          <cell r="DG65">
            <v>0</v>
          </cell>
          <cell r="DH65">
            <v>0</v>
          </cell>
          <cell r="DI65">
            <v>123537.55447935664</v>
          </cell>
          <cell r="DJ65">
            <v>0</v>
          </cell>
          <cell r="DK65">
            <v>11106.5</v>
          </cell>
          <cell r="DL65">
            <v>7187.43</v>
          </cell>
          <cell r="DM65">
            <v>70073.495851086889</v>
          </cell>
          <cell r="DN65">
            <v>0</v>
          </cell>
          <cell r="DO65">
            <v>0</v>
          </cell>
          <cell r="DP65">
            <v>0</v>
          </cell>
          <cell r="DQ65">
            <v>88367.425851086882</v>
          </cell>
          <cell r="DR65">
            <v>0</v>
          </cell>
          <cell r="DS65">
            <v>0</v>
          </cell>
          <cell r="DT65">
            <v>0</v>
          </cell>
          <cell r="DU65">
            <v>0</v>
          </cell>
          <cell r="DV65">
            <v>0</v>
          </cell>
          <cell r="DW65">
            <v>0</v>
          </cell>
          <cell r="DX65">
            <v>0</v>
          </cell>
          <cell r="DY65">
            <v>3594.6233866411571</v>
          </cell>
          <cell r="DZ65">
            <v>0</v>
          </cell>
          <cell r="EA65">
            <v>0</v>
          </cell>
          <cell r="EB65">
            <v>3594.6233866411571</v>
          </cell>
          <cell r="EE65">
            <v>0</v>
          </cell>
          <cell r="EH65">
            <v>0</v>
          </cell>
          <cell r="EI65">
            <v>6770.3555000000006</v>
          </cell>
          <cell r="EK65">
            <v>0</v>
          </cell>
          <cell r="EL65">
            <v>0</v>
          </cell>
          <cell r="EM65">
            <v>0</v>
          </cell>
          <cell r="EO65">
            <v>6770.3555000000006</v>
          </cell>
          <cell r="EP65">
            <v>0</v>
          </cell>
          <cell r="EQ65">
            <v>156611.10877123781</v>
          </cell>
          <cell r="ER65">
            <v>1115536.5362088496</v>
          </cell>
          <cell r="ET65">
            <v>306.61052631578946</v>
          </cell>
          <cell r="EU65">
            <v>3638.2851874430348</v>
          </cell>
          <cell r="EV65" t="str">
            <v>No Variation Applied</v>
          </cell>
          <cell r="EW65">
            <v>40800</v>
          </cell>
          <cell r="EX65">
            <v>0</v>
          </cell>
          <cell r="EY65">
            <v>0</v>
          </cell>
          <cell r="EZ65">
            <v>115452.83372507186</v>
          </cell>
        </row>
        <row r="66">
          <cell r="C66" t="str">
            <v>Cherry Tree Hill Primary School</v>
          </cell>
          <cell r="D66">
            <v>2451</v>
          </cell>
          <cell r="F66" t="str">
            <v/>
          </cell>
          <cell r="G66">
            <v>0</v>
          </cell>
          <cell r="H66">
            <v>29442</v>
          </cell>
          <cell r="I66">
            <v>0</v>
          </cell>
          <cell r="J66">
            <v>0</v>
          </cell>
          <cell r="L66">
            <v>102941.92861065907</v>
          </cell>
          <cell r="M66">
            <v>29442</v>
          </cell>
          <cell r="N66">
            <v>30.991578947368421</v>
          </cell>
          <cell r="S66">
            <v>0</v>
          </cell>
          <cell r="T66">
            <v>0</v>
          </cell>
          <cell r="U66">
            <v>65</v>
          </cell>
          <cell r="Y66">
            <v>63</v>
          </cell>
          <cell r="Z66">
            <v>58</v>
          </cell>
          <cell r="AA66">
            <v>61</v>
          </cell>
          <cell r="AB66">
            <v>62</v>
          </cell>
          <cell r="AC66">
            <v>63</v>
          </cell>
          <cell r="AD66">
            <v>66</v>
          </cell>
          <cell r="AK66">
            <v>1132894.9302798971</v>
          </cell>
          <cell r="AL66">
            <v>438</v>
          </cell>
          <cell r="BS66">
            <v>6371.2548000000006</v>
          </cell>
          <cell r="BT66">
            <v>0</v>
          </cell>
          <cell r="BU66">
            <v>0</v>
          </cell>
          <cell r="BV66">
            <v>0</v>
          </cell>
          <cell r="BW66">
            <v>0</v>
          </cell>
          <cell r="BX66">
            <v>1289.6031999999977</v>
          </cell>
          <cell r="BY66">
            <v>0</v>
          </cell>
          <cell r="BZ66">
            <v>5019.2489999999998</v>
          </cell>
          <cell r="CA66">
            <v>0</v>
          </cell>
          <cell r="CB66">
            <v>0</v>
          </cell>
          <cell r="CC66">
            <v>0</v>
          </cell>
          <cell r="CD66">
            <v>0</v>
          </cell>
          <cell r="CE66">
            <v>12680.106999999998</v>
          </cell>
          <cell r="CF66">
            <v>34020.916695056439</v>
          </cell>
          <cell r="CI66">
            <v>0</v>
          </cell>
          <cell r="CJ66">
            <v>0</v>
          </cell>
          <cell r="CK66">
            <v>8890.09</v>
          </cell>
          <cell r="CL66">
            <v>5979.0240471001689</v>
          </cell>
          <cell r="CM66">
            <v>48890.030742156603</v>
          </cell>
          <cell r="CQ66">
            <v>3046.9238377843717</v>
          </cell>
          <cell r="CR66">
            <v>1607.77</v>
          </cell>
          <cell r="CS66">
            <v>2829.1936421176256</v>
          </cell>
          <cell r="CT66">
            <v>7483.8874799019977</v>
          </cell>
          <cell r="CU66">
            <v>3003.2387510207782</v>
          </cell>
          <cell r="CV66">
            <v>0</v>
          </cell>
          <cell r="CW66">
            <v>3003.2387510207782</v>
          </cell>
          <cell r="CX66">
            <v>0</v>
          </cell>
          <cell r="CZ66">
            <v>0</v>
          </cell>
          <cell r="DC66">
            <v>0</v>
          </cell>
          <cell r="DD66">
            <v>85710.459827431565</v>
          </cell>
          <cell r="DE66">
            <v>89815.66535490453</v>
          </cell>
          <cell r="DF66">
            <v>10273.40909703141</v>
          </cell>
          <cell r="DG66">
            <v>0</v>
          </cell>
          <cell r="DH66">
            <v>0</v>
          </cell>
          <cell r="DI66">
            <v>185799.53427936748</v>
          </cell>
          <cell r="DJ66">
            <v>0</v>
          </cell>
          <cell r="DK66">
            <v>22098.5</v>
          </cell>
          <cell r="DL66">
            <v>7362.3</v>
          </cell>
          <cell r="DM66">
            <v>70073.495851086889</v>
          </cell>
          <cell r="DN66">
            <v>0</v>
          </cell>
          <cell r="DO66">
            <v>0</v>
          </cell>
          <cell r="DP66">
            <v>0</v>
          </cell>
          <cell r="DQ66">
            <v>99534.295851086892</v>
          </cell>
          <cell r="DR66">
            <v>0</v>
          </cell>
          <cell r="DS66">
            <v>0</v>
          </cell>
          <cell r="DT66">
            <v>0</v>
          </cell>
          <cell r="DU66">
            <v>0</v>
          </cell>
          <cell r="DV66">
            <v>0</v>
          </cell>
          <cell r="DW66">
            <v>0</v>
          </cell>
          <cell r="DX66">
            <v>0</v>
          </cell>
          <cell r="DY66">
            <v>4248.1912751213677</v>
          </cell>
          <cell r="DZ66">
            <v>1512.6823409033225</v>
          </cell>
          <cell r="EA66">
            <v>0</v>
          </cell>
          <cell r="EB66">
            <v>5760.8736160246899</v>
          </cell>
          <cell r="EE66">
            <v>0</v>
          </cell>
          <cell r="EH66">
            <v>0</v>
          </cell>
          <cell r="EI66">
            <v>0</v>
          </cell>
          <cell r="EK66">
            <v>0</v>
          </cell>
          <cell r="EL66">
            <v>0</v>
          </cell>
          <cell r="EM66">
            <v>0</v>
          </cell>
          <cell r="EO66">
            <v>0</v>
          </cell>
          <cell r="EP66">
            <v>0</v>
          </cell>
          <cell r="EQ66">
            <v>115622.03561065908</v>
          </cell>
          <cell r="ER66">
            <v>1598988.8266101144</v>
          </cell>
          <cell r="ET66">
            <v>468.9915789473684</v>
          </cell>
          <cell r="EU66">
            <v>3409.4190565190461</v>
          </cell>
          <cell r="EV66" t="str">
            <v>No Variation Applied</v>
          </cell>
          <cell r="EW66">
            <v>52800</v>
          </cell>
          <cell r="EX66">
            <v>0</v>
          </cell>
          <cell r="EY66">
            <v>0</v>
          </cell>
          <cell r="EZ66">
            <v>131280.67495362909</v>
          </cell>
        </row>
        <row r="67">
          <cell r="C67" t="str">
            <v>Meadow Farm Community Primary School</v>
          </cell>
          <cell r="D67">
            <v>2452</v>
          </cell>
          <cell r="F67" t="str">
            <v/>
          </cell>
          <cell r="G67">
            <v>0</v>
          </cell>
          <cell r="H67">
            <v>21210</v>
          </cell>
          <cell r="I67">
            <v>0</v>
          </cell>
          <cell r="J67">
            <v>0</v>
          </cell>
          <cell r="L67">
            <v>74159.306631073938</v>
          </cell>
          <cell r="M67">
            <v>21210</v>
          </cell>
          <cell r="N67">
            <v>22.326315789473686</v>
          </cell>
          <cell r="S67">
            <v>0</v>
          </cell>
          <cell r="T67">
            <v>0</v>
          </cell>
          <cell r="U67">
            <v>30</v>
          </cell>
          <cell r="Y67">
            <v>29</v>
          </cell>
          <cell r="Z67">
            <v>28</v>
          </cell>
          <cell r="AA67">
            <v>33</v>
          </cell>
          <cell r="AB67">
            <v>27</v>
          </cell>
          <cell r="AC67">
            <v>25</v>
          </cell>
          <cell r="AD67">
            <v>38</v>
          </cell>
          <cell r="AK67">
            <v>542896.45356527099</v>
          </cell>
          <cell r="AL67">
            <v>210</v>
          </cell>
          <cell r="BS67">
            <v>7659.4319999999998</v>
          </cell>
          <cell r="BT67">
            <v>0</v>
          </cell>
          <cell r="BU67">
            <v>116.05200000000001</v>
          </cell>
          <cell r="BV67">
            <v>0</v>
          </cell>
          <cell r="BW67">
            <v>0</v>
          </cell>
          <cell r="BX67">
            <v>-5679.6097515765869</v>
          </cell>
          <cell r="BY67">
            <v>0</v>
          </cell>
          <cell r="BZ67">
            <v>3011.5493999999999</v>
          </cell>
          <cell r="CA67">
            <v>0</v>
          </cell>
          <cell r="CB67">
            <v>0</v>
          </cell>
          <cell r="CC67">
            <v>0</v>
          </cell>
          <cell r="CD67">
            <v>0</v>
          </cell>
          <cell r="CE67">
            <v>5107.4236484234125</v>
          </cell>
          <cell r="CF67">
            <v>11340.305565018814</v>
          </cell>
          <cell r="CI67">
            <v>0</v>
          </cell>
          <cell r="CJ67">
            <v>0</v>
          </cell>
          <cell r="CK67">
            <v>4262.37</v>
          </cell>
          <cell r="CL67">
            <v>2874.0868488956407</v>
          </cell>
          <cell r="CM67">
            <v>18476.762413914454</v>
          </cell>
          <cell r="CQ67">
            <v>3046.9238377843717</v>
          </cell>
          <cell r="CR67">
            <v>1004.86</v>
          </cell>
          <cell r="CS67">
            <v>1616.6820812100718</v>
          </cell>
          <cell r="CT67">
            <v>5668.4659189944432</v>
          </cell>
          <cell r="CU67">
            <v>6006.4775020415564</v>
          </cell>
          <cell r="CV67">
            <v>0</v>
          </cell>
          <cell r="CW67">
            <v>6006.4775020415564</v>
          </cell>
          <cell r="CX67">
            <v>0</v>
          </cell>
          <cell r="CZ67">
            <v>0</v>
          </cell>
          <cell r="DC67">
            <v>0</v>
          </cell>
          <cell r="DD67">
            <v>84766.641962848706</v>
          </cell>
          <cell r="DE67">
            <v>79583.500947383756</v>
          </cell>
          <cell r="DF67">
            <v>5136.704548515705</v>
          </cell>
          <cell r="DG67">
            <v>0</v>
          </cell>
          <cell r="DH67">
            <v>0</v>
          </cell>
          <cell r="DI67">
            <v>169486.84745874818</v>
          </cell>
          <cell r="DJ67">
            <v>0</v>
          </cell>
          <cell r="DK67">
            <v>14198</v>
          </cell>
          <cell r="DL67">
            <v>3811.25</v>
          </cell>
          <cell r="DM67">
            <v>70073.495851086889</v>
          </cell>
          <cell r="DN67">
            <v>0</v>
          </cell>
          <cell r="DO67">
            <v>0</v>
          </cell>
          <cell r="DP67">
            <v>0</v>
          </cell>
          <cell r="DQ67">
            <v>88082.745851086889</v>
          </cell>
          <cell r="DR67">
            <v>0</v>
          </cell>
          <cell r="DS67">
            <v>0</v>
          </cell>
          <cell r="DT67">
            <v>0</v>
          </cell>
          <cell r="DU67">
            <v>0</v>
          </cell>
          <cell r="DV67">
            <v>0</v>
          </cell>
          <cell r="DW67">
            <v>0</v>
          </cell>
          <cell r="DX67">
            <v>0</v>
          </cell>
          <cell r="DY67">
            <v>1960.7036654406311</v>
          </cell>
          <cell r="DZ67">
            <v>0</v>
          </cell>
          <cell r="EA67">
            <v>0</v>
          </cell>
          <cell r="EB67">
            <v>1960.7036654406311</v>
          </cell>
          <cell r="EE67">
            <v>0</v>
          </cell>
          <cell r="EH67">
            <v>0</v>
          </cell>
          <cell r="EI67">
            <v>0</v>
          </cell>
          <cell r="EK67">
            <v>0</v>
          </cell>
          <cell r="EL67">
            <v>5632</v>
          </cell>
          <cell r="EM67">
            <v>0</v>
          </cell>
          <cell r="EO67">
            <v>5632</v>
          </cell>
          <cell r="EP67">
            <v>0</v>
          </cell>
          <cell r="EQ67">
            <v>79266.730279497351</v>
          </cell>
          <cell r="ER67">
            <v>917477.1866549945</v>
          </cell>
          <cell r="ET67">
            <v>232.32631578947368</v>
          </cell>
          <cell r="EU67">
            <v>3949.0885203309535</v>
          </cell>
          <cell r="EV67" t="str">
            <v>No Variation Applied</v>
          </cell>
          <cell r="EW67">
            <v>43200</v>
          </cell>
          <cell r="EX67">
            <v>0</v>
          </cell>
          <cell r="EY67">
            <v>0</v>
          </cell>
          <cell r="EZ67">
            <v>113858.1342972253</v>
          </cell>
        </row>
        <row r="68">
          <cell r="C68" t="str">
            <v>Chaddesden Park Junior School</v>
          </cell>
          <cell r="D68">
            <v>2453</v>
          </cell>
          <cell r="F68" t="str">
            <v/>
          </cell>
          <cell r="G68">
            <v>0</v>
          </cell>
          <cell r="H68">
            <v>0</v>
          </cell>
          <cell r="I68">
            <v>0</v>
          </cell>
          <cell r="J68">
            <v>0</v>
          </cell>
          <cell r="L68">
            <v>0</v>
          </cell>
          <cell r="M68">
            <v>0</v>
          </cell>
          <cell r="N68">
            <v>0</v>
          </cell>
          <cell r="S68">
            <v>0</v>
          </cell>
          <cell r="T68">
            <v>0</v>
          </cell>
          <cell r="U68">
            <v>0</v>
          </cell>
          <cell r="Y68">
            <v>0</v>
          </cell>
          <cell r="Z68">
            <v>0</v>
          </cell>
          <cell r="AA68">
            <v>38</v>
          </cell>
          <cell r="AB68">
            <v>49</v>
          </cell>
          <cell r="AC68">
            <v>40</v>
          </cell>
          <cell r="AD68">
            <v>55</v>
          </cell>
          <cell r="AK68">
            <v>467613.16944306128</v>
          </cell>
          <cell r="AL68">
            <v>182</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I68">
            <v>0</v>
          </cell>
          <cell r="CJ68">
            <v>0</v>
          </cell>
          <cell r="CK68">
            <v>3694.05</v>
          </cell>
          <cell r="CL68">
            <v>2866.3918372520111</v>
          </cell>
          <cell r="CM68">
            <v>6560.4418372520113</v>
          </cell>
          <cell r="CQ68">
            <v>1523.4619188921858</v>
          </cell>
          <cell r="CR68">
            <v>1607.77</v>
          </cell>
          <cell r="CS68">
            <v>808.34104060503591</v>
          </cell>
          <cell r="CT68">
            <v>3939.5729594972217</v>
          </cell>
          <cell r="CU68">
            <v>9009.7162530623336</v>
          </cell>
          <cell r="CV68">
            <v>0</v>
          </cell>
          <cell r="CW68">
            <v>9009.7162530623336</v>
          </cell>
          <cell r="CX68">
            <v>0</v>
          </cell>
          <cell r="CZ68">
            <v>0</v>
          </cell>
          <cell r="DC68">
            <v>0</v>
          </cell>
          <cell r="DD68">
            <v>44315.198172992408</v>
          </cell>
          <cell r="DE68">
            <v>51160.822037603844</v>
          </cell>
          <cell r="DF68">
            <v>4280.5871237630872</v>
          </cell>
          <cell r="DG68">
            <v>0</v>
          </cell>
          <cell r="DH68">
            <v>0</v>
          </cell>
          <cell r="DI68">
            <v>99756.607334359345</v>
          </cell>
          <cell r="DJ68">
            <v>0</v>
          </cell>
          <cell r="DK68">
            <v>6125.75</v>
          </cell>
          <cell r="DL68">
            <v>6247.81</v>
          </cell>
          <cell r="DM68">
            <v>74722.185859261808</v>
          </cell>
          <cell r="DN68">
            <v>0</v>
          </cell>
          <cell r="DO68">
            <v>0</v>
          </cell>
          <cell r="DP68">
            <v>0</v>
          </cell>
          <cell r="DQ68">
            <v>87095.745859261806</v>
          </cell>
          <cell r="DR68">
            <v>0</v>
          </cell>
          <cell r="DS68">
            <v>0</v>
          </cell>
          <cell r="DT68">
            <v>0</v>
          </cell>
          <cell r="DU68">
            <v>0</v>
          </cell>
          <cell r="DV68">
            <v>0</v>
          </cell>
          <cell r="DW68">
            <v>0</v>
          </cell>
          <cell r="DX68">
            <v>0</v>
          </cell>
          <cell r="DY68">
            <v>2941.0554981609466</v>
          </cell>
          <cell r="DZ68">
            <v>0</v>
          </cell>
          <cell r="EA68">
            <v>0</v>
          </cell>
          <cell r="EB68">
            <v>2941.0554981609466</v>
          </cell>
          <cell r="EE68">
            <v>0</v>
          </cell>
          <cell r="EH68">
            <v>0</v>
          </cell>
          <cell r="EI68">
            <v>0</v>
          </cell>
          <cell r="EK68">
            <v>0</v>
          </cell>
          <cell r="EL68">
            <v>10887</v>
          </cell>
          <cell r="EM68">
            <v>0</v>
          </cell>
          <cell r="EO68">
            <v>10887</v>
          </cell>
          <cell r="EP68">
            <v>0</v>
          </cell>
          <cell r="EQ68">
            <v>0</v>
          </cell>
          <cell r="ER68">
            <v>687803.30918465508</v>
          </cell>
          <cell r="ET68">
            <v>182</v>
          </cell>
          <cell r="EU68">
            <v>3779.1390614541488</v>
          </cell>
          <cell r="EV68" t="str">
            <v>No Variation Applied</v>
          </cell>
          <cell r="EW68">
            <v>36000</v>
          </cell>
          <cell r="EX68">
            <v>0</v>
          </cell>
          <cell r="EY68">
            <v>0</v>
          </cell>
          <cell r="EZ68">
            <v>71311.580830052713</v>
          </cell>
        </row>
        <row r="69">
          <cell r="C69" t="str">
            <v>Chellaston Infant School</v>
          </cell>
          <cell r="D69">
            <v>2455</v>
          </cell>
          <cell r="F69" t="str">
            <v/>
          </cell>
          <cell r="G69">
            <v>0</v>
          </cell>
          <cell r="H69">
            <v>0</v>
          </cell>
          <cell r="I69">
            <v>0</v>
          </cell>
          <cell r="J69">
            <v>0</v>
          </cell>
          <cell r="L69">
            <v>0</v>
          </cell>
          <cell r="M69">
            <v>0</v>
          </cell>
          <cell r="N69">
            <v>0</v>
          </cell>
          <cell r="S69">
            <v>0</v>
          </cell>
          <cell r="T69">
            <v>0</v>
          </cell>
          <cell r="U69">
            <v>120</v>
          </cell>
          <cell r="Y69">
            <v>120</v>
          </cell>
          <cell r="Z69">
            <v>120</v>
          </cell>
          <cell r="AA69">
            <v>0</v>
          </cell>
          <cell r="AB69">
            <v>0</v>
          </cell>
          <cell r="AC69">
            <v>0</v>
          </cell>
          <cell r="AD69">
            <v>0</v>
          </cell>
          <cell r="AK69">
            <v>936892.62885780726</v>
          </cell>
          <cell r="AL69">
            <v>360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45361.222260075258</v>
          </cell>
          <cell r="CI69">
            <v>0</v>
          </cell>
          <cell r="CJ69">
            <v>0</v>
          </cell>
          <cell r="CK69">
            <v>7306.92</v>
          </cell>
          <cell r="CL69">
            <v>4882.4848878829562</v>
          </cell>
          <cell r="CM69">
            <v>57550.627147958214</v>
          </cell>
          <cell r="CQ69">
            <v>5332.1167161226504</v>
          </cell>
          <cell r="CR69">
            <v>3818.46</v>
          </cell>
          <cell r="CS69">
            <v>6062.5578045377697</v>
          </cell>
          <cell r="CT69">
            <v>15213.13452066042</v>
          </cell>
          <cell r="CU69">
            <v>11011.875420409518</v>
          </cell>
          <cell r="CV69">
            <v>0</v>
          </cell>
          <cell r="CW69">
            <v>11011.875420409518</v>
          </cell>
          <cell r="CX69">
            <v>0</v>
          </cell>
          <cell r="CZ69">
            <v>0</v>
          </cell>
          <cell r="DC69">
            <v>0</v>
          </cell>
          <cell r="DD69">
            <v>59666.9856265981</v>
          </cell>
          <cell r="DE69">
            <v>24102.431715493367</v>
          </cell>
          <cell r="DF69">
            <v>7705.0568227735575</v>
          </cell>
          <cell r="DG69">
            <v>0</v>
          </cell>
          <cell r="DH69">
            <v>0</v>
          </cell>
          <cell r="DI69">
            <v>91474.474164865038</v>
          </cell>
          <cell r="DJ69">
            <v>0</v>
          </cell>
          <cell r="DK69">
            <v>23816</v>
          </cell>
          <cell r="DL69">
            <v>4365.59</v>
          </cell>
          <cell r="DM69">
            <v>70073.495851086889</v>
          </cell>
          <cell r="DN69">
            <v>0</v>
          </cell>
          <cell r="DO69">
            <v>0</v>
          </cell>
          <cell r="DP69">
            <v>0</v>
          </cell>
          <cell r="DQ69">
            <v>98255.085851086886</v>
          </cell>
          <cell r="DR69">
            <v>0</v>
          </cell>
          <cell r="DS69">
            <v>0</v>
          </cell>
          <cell r="DT69">
            <v>0</v>
          </cell>
          <cell r="DU69">
            <v>0</v>
          </cell>
          <cell r="DV69">
            <v>0</v>
          </cell>
          <cell r="DW69">
            <v>0</v>
          </cell>
          <cell r="DX69">
            <v>0</v>
          </cell>
          <cell r="DY69">
            <v>4574.9752193614731</v>
          </cell>
          <cell r="DZ69">
            <v>0</v>
          </cell>
          <cell r="EA69">
            <v>0</v>
          </cell>
          <cell r="EB69">
            <v>4574.9752193614731</v>
          </cell>
          <cell r="EE69">
            <v>0</v>
          </cell>
          <cell r="EH69">
            <v>0</v>
          </cell>
          <cell r="EI69">
            <v>0</v>
          </cell>
          <cell r="EK69">
            <v>0</v>
          </cell>
          <cell r="EL69">
            <v>7384</v>
          </cell>
          <cell r="EM69">
            <v>0</v>
          </cell>
          <cell r="EO69">
            <v>7384</v>
          </cell>
          <cell r="EP69">
            <v>0</v>
          </cell>
          <cell r="EQ69">
            <v>0</v>
          </cell>
          <cell r="ER69">
            <v>1222356.801182149</v>
          </cell>
          <cell r="ET69">
            <v>360</v>
          </cell>
          <cell r="EU69">
            <v>3395.4355588393028</v>
          </cell>
          <cell r="EV69" t="str">
            <v>No Variation Applied</v>
          </cell>
          <cell r="EW69">
            <v>28200</v>
          </cell>
          <cell r="EX69">
            <v>0</v>
          </cell>
          <cell r="EY69">
            <v>0</v>
          </cell>
          <cell r="EZ69">
            <v>107209.27788628415</v>
          </cell>
        </row>
        <row r="70">
          <cell r="C70" t="str">
            <v>Carlyle Infant School</v>
          </cell>
          <cell r="D70">
            <v>2456</v>
          </cell>
          <cell r="F70" t="str">
            <v/>
          </cell>
          <cell r="G70">
            <v>0</v>
          </cell>
          <cell r="H70">
            <v>28020</v>
          </cell>
          <cell r="I70">
            <v>0</v>
          </cell>
          <cell r="J70">
            <v>0</v>
          </cell>
          <cell r="L70">
            <v>97970.003385322576</v>
          </cell>
          <cell r="M70">
            <v>28020</v>
          </cell>
          <cell r="N70">
            <v>29.494736842105262</v>
          </cell>
          <cell r="S70">
            <v>0</v>
          </cell>
          <cell r="T70">
            <v>0</v>
          </cell>
          <cell r="U70">
            <v>60</v>
          </cell>
          <cell r="Y70">
            <v>60</v>
          </cell>
          <cell r="Z70">
            <v>59</v>
          </cell>
          <cell r="AA70">
            <v>0</v>
          </cell>
          <cell r="AB70">
            <v>0</v>
          </cell>
          <cell r="AC70">
            <v>0</v>
          </cell>
          <cell r="AD70">
            <v>0</v>
          </cell>
          <cell r="AK70">
            <v>465995.98493138084</v>
          </cell>
          <cell r="AL70">
            <v>179</v>
          </cell>
          <cell r="BS70">
            <v>1624.7280000000001</v>
          </cell>
          <cell r="BT70">
            <v>0</v>
          </cell>
          <cell r="BU70">
            <v>1856.8320000000001</v>
          </cell>
          <cell r="BV70">
            <v>0</v>
          </cell>
          <cell r="BW70">
            <v>0</v>
          </cell>
          <cell r="BX70">
            <v>-2196.2480000000069</v>
          </cell>
          <cell r="BY70">
            <v>0</v>
          </cell>
          <cell r="BZ70">
            <v>0</v>
          </cell>
          <cell r="CA70">
            <v>0</v>
          </cell>
          <cell r="CB70">
            <v>0</v>
          </cell>
          <cell r="CC70">
            <v>0</v>
          </cell>
          <cell r="CD70">
            <v>0</v>
          </cell>
          <cell r="CE70">
            <v>1285.3119999999935</v>
          </cell>
          <cell r="CF70">
            <v>22680.611130037629</v>
          </cell>
          <cell r="CI70">
            <v>0</v>
          </cell>
          <cell r="CJ70">
            <v>0</v>
          </cell>
          <cell r="CK70">
            <v>3633.16</v>
          </cell>
          <cell r="CL70">
            <v>3016.444564302788</v>
          </cell>
          <cell r="CM70">
            <v>29330.215694340415</v>
          </cell>
          <cell r="CQ70">
            <v>3808.6547972304647</v>
          </cell>
          <cell r="CR70">
            <v>8641.77</v>
          </cell>
          <cell r="CS70">
            <v>10104.263007562949</v>
          </cell>
          <cell r="CT70">
            <v>22554.687804793415</v>
          </cell>
          <cell r="CU70">
            <v>2502.698959183982</v>
          </cell>
          <cell r="CV70">
            <v>0</v>
          </cell>
          <cell r="CW70">
            <v>2502.698959183982</v>
          </cell>
          <cell r="CX70">
            <v>0</v>
          </cell>
          <cell r="CZ70">
            <v>0</v>
          </cell>
          <cell r="DC70">
            <v>0</v>
          </cell>
          <cell r="DD70">
            <v>19289.277607412336</v>
          </cell>
          <cell r="DE70">
            <v>13870.267307972599</v>
          </cell>
          <cell r="DF70">
            <v>856.11742475261747</v>
          </cell>
          <cell r="DG70">
            <v>0</v>
          </cell>
          <cell r="DH70">
            <v>0</v>
          </cell>
          <cell r="DI70">
            <v>34015.662340137547</v>
          </cell>
          <cell r="DJ70">
            <v>0</v>
          </cell>
          <cell r="DK70">
            <v>8587.5</v>
          </cell>
          <cell r="DL70">
            <v>2870.98</v>
          </cell>
          <cell r="DM70">
            <v>70073.495851086889</v>
          </cell>
          <cell r="DN70">
            <v>0</v>
          </cell>
          <cell r="DO70">
            <v>0</v>
          </cell>
          <cell r="DP70">
            <v>0</v>
          </cell>
          <cell r="DQ70">
            <v>81531.975851086885</v>
          </cell>
          <cell r="DR70">
            <v>0</v>
          </cell>
          <cell r="DS70">
            <v>0</v>
          </cell>
          <cell r="DT70">
            <v>0</v>
          </cell>
          <cell r="DU70">
            <v>0</v>
          </cell>
          <cell r="DV70">
            <v>0</v>
          </cell>
          <cell r="DW70">
            <v>0</v>
          </cell>
          <cell r="DX70">
            <v>0</v>
          </cell>
          <cell r="DY70">
            <v>4574.9752193614731</v>
          </cell>
          <cell r="DZ70">
            <v>0</v>
          </cell>
          <cell r="EA70">
            <v>0</v>
          </cell>
          <cell r="EB70">
            <v>4574.9752193614731</v>
          </cell>
          <cell r="EE70">
            <v>0</v>
          </cell>
          <cell r="EH70">
            <v>0</v>
          </cell>
          <cell r="EI70">
            <v>0</v>
          </cell>
          <cell r="EK70">
            <v>0</v>
          </cell>
          <cell r="EL70">
            <v>6257</v>
          </cell>
          <cell r="EM70">
            <v>0</v>
          </cell>
          <cell r="EO70">
            <v>6257</v>
          </cell>
          <cell r="EP70">
            <v>0</v>
          </cell>
          <cell r="EQ70">
            <v>99255.315385322567</v>
          </cell>
          <cell r="ER70">
            <v>746018.51618560706</v>
          </cell>
          <cell r="ET70">
            <v>208.49473684210525</v>
          </cell>
          <cell r="EU70">
            <v>3578.1167787970248</v>
          </cell>
          <cell r="EV70" t="str">
            <v>No Variation Applied</v>
          </cell>
          <cell r="EW70">
            <v>9000</v>
          </cell>
          <cell r="EX70">
            <v>0</v>
          </cell>
          <cell r="EY70">
            <v>0</v>
          </cell>
          <cell r="EZ70">
            <v>49038.286137114141</v>
          </cell>
        </row>
        <row r="71">
          <cell r="C71" t="str">
            <v>Gayton Community Junior School</v>
          </cell>
          <cell r="D71">
            <v>2457</v>
          </cell>
          <cell r="F71" t="str">
            <v/>
          </cell>
          <cell r="G71">
            <v>0</v>
          </cell>
          <cell r="H71">
            <v>0</v>
          </cell>
          <cell r="I71">
            <v>0</v>
          </cell>
          <cell r="J71">
            <v>0</v>
          </cell>
          <cell r="L71">
            <v>0</v>
          </cell>
          <cell r="M71">
            <v>0</v>
          </cell>
          <cell r="N71">
            <v>0</v>
          </cell>
          <cell r="S71">
            <v>0</v>
          </cell>
          <cell r="T71">
            <v>0</v>
          </cell>
          <cell r="U71">
            <v>0</v>
          </cell>
          <cell r="Y71">
            <v>0</v>
          </cell>
          <cell r="Z71">
            <v>0</v>
          </cell>
          <cell r="AA71">
            <v>82</v>
          </cell>
          <cell r="AB71">
            <v>92</v>
          </cell>
          <cell r="AC71">
            <v>85</v>
          </cell>
          <cell r="AD71">
            <v>84</v>
          </cell>
          <cell r="AK71">
            <v>881270.97318115388</v>
          </cell>
          <cell r="AL71">
            <v>343</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I71">
            <v>0</v>
          </cell>
          <cell r="CJ71">
            <v>0</v>
          </cell>
          <cell r="CK71">
            <v>6961.87</v>
          </cell>
          <cell r="CL71">
            <v>2866.3918372520111</v>
          </cell>
          <cell r="CM71">
            <v>9828.2618372520119</v>
          </cell>
          <cell r="CQ71">
            <v>3808.6547972304647</v>
          </cell>
          <cell r="CR71">
            <v>17886.46</v>
          </cell>
          <cell r="CS71">
            <v>17581.41763315953</v>
          </cell>
          <cell r="CT71">
            <v>39276.532430389998</v>
          </cell>
          <cell r="CU71">
            <v>7257.8269816335478</v>
          </cell>
          <cell r="CV71">
            <v>0</v>
          </cell>
          <cell r="CW71">
            <v>7257.8269816335478</v>
          </cell>
          <cell r="CX71">
            <v>0</v>
          </cell>
          <cell r="CZ71">
            <v>0</v>
          </cell>
          <cell r="DC71">
            <v>0</v>
          </cell>
          <cell r="DD71">
            <v>64843.236727669755</v>
          </cell>
          <cell r="DE71">
            <v>53889.399212942721</v>
          </cell>
          <cell r="DF71">
            <v>3424.4696990104699</v>
          </cell>
          <cell r="DG71">
            <v>0</v>
          </cell>
          <cell r="DH71">
            <v>0</v>
          </cell>
          <cell r="DI71">
            <v>122157.10563962294</v>
          </cell>
          <cell r="DJ71">
            <v>0</v>
          </cell>
          <cell r="DK71">
            <v>19055</v>
          </cell>
          <cell r="DL71">
            <v>5208.22</v>
          </cell>
          <cell r="DM71">
            <v>70073.495851086889</v>
          </cell>
          <cell r="DN71">
            <v>0</v>
          </cell>
          <cell r="DO71">
            <v>0</v>
          </cell>
          <cell r="DP71">
            <v>0</v>
          </cell>
          <cell r="DQ71">
            <v>94336.71585108689</v>
          </cell>
          <cell r="DR71">
            <v>0</v>
          </cell>
          <cell r="DS71">
            <v>0</v>
          </cell>
          <cell r="DT71">
            <v>0</v>
          </cell>
          <cell r="DU71">
            <v>0</v>
          </cell>
          <cell r="DV71">
            <v>0</v>
          </cell>
          <cell r="DW71">
            <v>0</v>
          </cell>
          <cell r="DX71">
            <v>0</v>
          </cell>
          <cell r="DY71">
            <v>4248.1912751213677</v>
          </cell>
          <cell r="DZ71">
            <v>0</v>
          </cell>
          <cell r="EA71">
            <v>0</v>
          </cell>
          <cell r="EB71">
            <v>4248.1912751213677</v>
          </cell>
          <cell r="EE71">
            <v>0</v>
          </cell>
          <cell r="EH71">
            <v>0</v>
          </cell>
          <cell r="EI71">
            <v>0</v>
          </cell>
          <cell r="EK71">
            <v>0</v>
          </cell>
          <cell r="EL71">
            <v>3504</v>
          </cell>
          <cell r="EM71">
            <v>0</v>
          </cell>
          <cell r="EO71">
            <v>3504</v>
          </cell>
          <cell r="EP71">
            <v>0</v>
          </cell>
          <cell r="EQ71">
            <v>0</v>
          </cell>
          <cell r="ER71">
            <v>1161879.6071962607</v>
          </cell>
          <cell r="ET71">
            <v>343</v>
          </cell>
          <cell r="EU71">
            <v>3387.4041026130049</v>
          </cell>
          <cell r="EV71" t="str">
            <v>No Variation Applied</v>
          </cell>
          <cell r="EW71">
            <v>50400</v>
          </cell>
          <cell r="EX71">
            <v>0</v>
          </cell>
          <cell r="EY71">
            <v>0</v>
          </cell>
          <cell r="EZ71">
            <v>115855.60106896967</v>
          </cell>
        </row>
        <row r="72">
          <cell r="C72" t="str">
            <v>Ridgeway Infant School</v>
          </cell>
          <cell r="D72">
            <v>2458</v>
          </cell>
          <cell r="F72" t="str">
            <v/>
          </cell>
          <cell r="G72">
            <v>0</v>
          </cell>
          <cell r="H72">
            <v>0</v>
          </cell>
          <cell r="I72">
            <v>0</v>
          </cell>
          <cell r="J72">
            <v>0</v>
          </cell>
          <cell r="L72">
            <v>0</v>
          </cell>
          <cell r="M72">
            <v>0</v>
          </cell>
          <cell r="N72">
            <v>0</v>
          </cell>
          <cell r="S72">
            <v>0</v>
          </cell>
          <cell r="T72">
            <v>0</v>
          </cell>
          <cell r="U72">
            <v>90</v>
          </cell>
          <cell r="Y72">
            <v>90</v>
          </cell>
          <cell r="Z72">
            <v>90</v>
          </cell>
          <cell r="AA72">
            <v>0</v>
          </cell>
          <cell r="AB72">
            <v>0</v>
          </cell>
          <cell r="AC72">
            <v>0</v>
          </cell>
          <cell r="AD72">
            <v>0</v>
          </cell>
          <cell r="AK72">
            <v>702669.47164335544</v>
          </cell>
          <cell r="AL72">
            <v>270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34020.916695056439</v>
          </cell>
          <cell r="CI72">
            <v>0</v>
          </cell>
          <cell r="CJ72">
            <v>0</v>
          </cell>
          <cell r="CK72">
            <v>5480.19</v>
          </cell>
          <cell r="CL72">
            <v>3021.2539465800564</v>
          </cell>
          <cell r="CM72">
            <v>42522.3606416365</v>
          </cell>
          <cell r="CQ72">
            <v>3046.9238377843717</v>
          </cell>
          <cell r="CR72">
            <v>11857.31</v>
          </cell>
          <cell r="CS72">
            <v>15358.479771495682</v>
          </cell>
          <cell r="CT72">
            <v>30262.713609280054</v>
          </cell>
          <cell r="CU72">
            <v>8133.7716173479403</v>
          </cell>
          <cell r="CV72">
            <v>0</v>
          </cell>
          <cell r="CW72">
            <v>8133.7716173479403</v>
          </cell>
          <cell r="CX72">
            <v>0</v>
          </cell>
          <cell r="CZ72">
            <v>0</v>
          </cell>
          <cell r="DC72">
            <v>0</v>
          </cell>
          <cell r="DD72">
            <v>46394.546905901538</v>
          </cell>
          <cell r="DE72">
            <v>58664.409269785741</v>
          </cell>
          <cell r="DF72">
            <v>5992.8219732683219</v>
          </cell>
          <cell r="DG72">
            <v>0</v>
          </cell>
          <cell r="DH72">
            <v>0</v>
          </cell>
          <cell r="DI72">
            <v>111051.77814895561</v>
          </cell>
          <cell r="DJ72">
            <v>0</v>
          </cell>
          <cell r="DK72">
            <v>3044</v>
          </cell>
          <cell r="DL72">
            <v>3467.23</v>
          </cell>
          <cell r="DM72">
            <v>70073.495851086889</v>
          </cell>
          <cell r="DN72">
            <v>0</v>
          </cell>
          <cell r="DO72">
            <v>0</v>
          </cell>
          <cell r="DP72">
            <v>0</v>
          </cell>
          <cell r="DQ72">
            <v>76584.725851086885</v>
          </cell>
          <cell r="DR72">
            <v>0</v>
          </cell>
          <cell r="DS72">
            <v>0</v>
          </cell>
          <cell r="DT72">
            <v>0</v>
          </cell>
          <cell r="DU72">
            <v>0</v>
          </cell>
          <cell r="DV72">
            <v>0</v>
          </cell>
          <cell r="DW72">
            <v>0</v>
          </cell>
          <cell r="DX72">
            <v>0</v>
          </cell>
          <cell r="DY72">
            <v>2614.2715539208416</v>
          </cell>
          <cell r="DZ72">
            <v>0</v>
          </cell>
          <cell r="EA72">
            <v>0</v>
          </cell>
          <cell r="EB72">
            <v>2614.2715539208416</v>
          </cell>
          <cell r="EE72">
            <v>0</v>
          </cell>
          <cell r="EH72">
            <v>0</v>
          </cell>
          <cell r="EI72">
            <v>0</v>
          </cell>
          <cell r="EK72">
            <v>0</v>
          </cell>
          <cell r="EL72">
            <v>10385</v>
          </cell>
          <cell r="EM72">
            <v>0</v>
          </cell>
          <cell r="EO72">
            <v>10385</v>
          </cell>
          <cell r="EP72">
            <v>0</v>
          </cell>
          <cell r="EQ72">
            <v>0</v>
          </cell>
          <cell r="ER72">
            <v>984224.09306558338</v>
          </cell>
          <cell r="ET72">
            <v>270</v>
          </cell>
          <cell r="EU72">
            <v>3645.2744187614198</v>
          </cell>
          <cell r="EV72" t="str">
            <v>No Variation Applied</v>
          </cell>
          <cell r="EW72">
            <v>24250</v>
          </cell>
          <cell r="EX72">
            <v>0</v>
          </cell>
          <cell r="EY72">
            <v>0</v>
          </cell>
          <cell r="EZ72">
            <v>89364.501948987163</v>
          </cell>
        </row>
        <row r="73">
          <cell r="C73" t="str">
            <v>Wren Park Primary School</v>
          </cell>
          <cell r="D73">
            <v>2459</v>
          </cell>
          <cell r="F73" t="str">
            <v/>
          </cell>
          <cell r="G73">
            <v>0</v>
          </cell>
          <cell r="H73">
            <v>0</v>
          </cell>
          <cell r="I73">
            <v>0</v>
          </cell>
          <cell r="J73">
            <v>0</v>
          </cell>
          <cell r="L73">
            <v>0</v>
          </cell>
          <cell r="M73">
            <v>0</v>
          </cell>
          <cell r="N73">
            <v>0</v>
          </cell>
          <cell r="S73">
            <v>0</v>
          </cell>
          <cell r="T73">
            <v>0</v>
          </cell>
          <cell r="U73">
            <v>55</v>
          </cell>
          <cell r="Y73">
            <v>54</v>
          </cell>
          <cell r="Z73">
            <v>54</v>
          </cell>
          <cell r="AA73">
            <v>53</v>
          </cell>
          <cell r="AB73">
            <v>51</v>
          </cell>
          <cell r="AC73">
            <v>61</v>
          </cell>
          <cell r="AD73">
            <v>56</v>
          </cell>
          <cell r="AK73">
            <v>992324.45403135708</v>
          </cell>
          <cell r="AL73">
            <v>384</v>
          </cell>
          <cell r="BS73">
            <v>0</v>
          </cell>
          <cell r="BT73">
            <v>0</v>
          </cell>
          <cell r="BU73">
            <v>0</v>
          </cell>
          <cell r="BV73">
            <v>0</v>
          </cell>
          <cell r="BW73">
            <v>0</v>
          </cell>
          <cell r="BX73">
            <v>0</v>
          </cell>
          <cell r="BY73">
            <v>0</v>
          </cell>
          <cell r="BZ73">
            <v>0</v>
          </cell>
          <cell r="CA73">
            <v>0</v>
          </cell>
          <cell r="CB73">
            <v>0</v>
          </cell>
          <cell r="CC73">
            <v>0</v>
          </cell>
          <cell r="CD73">
            <v>0</v>
          </cell>
          <cell r="CE73">
            <v>0</v>
          </cell>
          <cell r="CF73">
            <v>22680.611130037629</v>
          </cell>
          <cell r="CI73">
            <v>0</v>
          </cell>
          <cell r="CJ73">
            <v>0</v>
          </cell>
          <cell r="CK73">
            <v>7794.05</v>
          </cell>
          <cell r="CL73">
            <v>5663.5285697113559</v>
          </cell>
          <cell r="CM73">
            <v>36138.189699748982</v>
          </cell>
          <cell r="CQ73">
            <v>3046.9238377843717</v>
          </cell>
          <cell r="CR73">
            <v>4019.43</v>
          </cell>
          <cell r="CS73">
            <v>12529.286129378057</v>
          </cell>
          <cell r="CT73">
            <v>19595.639967162428</v>
          </cell>
          <cell r="CU73">
            <v>16017.273338777484</v>
          </cell>
          <cell r="CV73">
            <v>0</v>
          </cell>
          <cell r="CW73">
            <v>16017.273338777484</v>
          </cell>
          <cell r="CX73">
            <v>0</v>
          </cell>
          <cell r="CZ73">
            <v>0</v>
          </cell>
          <cell r="DC73">
            <v>0</v>
          </cell>
          <cell r="DD73">
            <v>38106.646282533242</v>
          </cell>
          <cell r="DE73">
            <v>7276.2058009036582</v>
          </cell>
          <cell r="DF73">
            <v>1712.2348495052349</v>
          </cell>
          <cell r="DG73">
            <v>0</v>
          </cell>
          <cell r="DH73">
            <v>0</v>
          </cell>
          <cell r="DI73">
            <v>47095.086932942133</v>
          </cell>
          <cell r="DJ73">
            <v>0</v>
          </cell>
          <cell r="DK73">
            <v>14427</v>
          </cell>
          <cell r="DL73">
            <v>4560.26</v>
          </cell>
          <cell r="DM73">
            <v>70073.495851086889</v>
          </cell>
          <cell r="DN73">
            <v>0</v>
          </cell>
          <cell r="DO73">
            <v>0</v>
          </cell>
          <cell r="DP73">
            <v>0</v>
          </cell>
          <cell r="DQ73">
            <v>89060.755851086898</v>
          </cell>
          <cell r="DR73">
            <v>0</v>
          </cell>
          <cell r="DS73">
            <v>0</v>
          </cell>
          <cell r="DT73">
            <v>0</v>
          </cell>
          <cell r="DU73">
            <v>0</v>
          </cell>
          <cell r="DV73">
            <v>0</v>
          </cell>
          <cell r="DW73">
            <v>0</v>
          </cell>
          <cell r="DX73">
            <v>0</v>
          </cell>
          <cell r="DY73">
            <v>2614.2715539208416</v>
          </cell>
          <cell r="DZ73">
            <v>0</v>
          </cell>
          <cell r="EA73">
            <v>0</v>
          </cell>
          <cell r="EB73">
            <v>2614.2715539208416</v>
          </cell>
          <cell r="EE73">
            <v>0</v>
          </cell>
          <cell r="EH73">
            <v>0</v>
          </cell>
          <cell r="EI73">
            <v>0</v>
          </cell>
          <cell r="EK73">
            <v>0</v>
          </cell>
          <cell r="EL73">
            <v>12139</v>
          </cell>
          <cell r="EM73">
            <v>0</v>
          </cell>
          <cell r="EO73">
            <v>12139</v>
          </cell>
          <cell r="EP73">
            <v>0</v>
          </cell>
          <cell r="EQ73">
            <v>0</v>
          </cell>
          <cell r="ER73">
            <v>1214984.6713749957</v>
          </cell>
          <cell r="ET73">
            <v>384</v>
          </cell>
          <cell r="EU73">
            <v>3164.022581705718</v>
          </cell>
          <cell r="EV73" t="str">
            <v>No Variation Applied</v>
          </cell>
          <cell r="EW73">
            <v>17400</v>
          </cell>
          <cell r="EX73">
            <v>0</v>
          </cell>
          <cell r="EY73">
            <v>0</v>
          </cell>
          <cell r="EZ73">
            <v>81623.241815607951</v>
          </cell>
        </row>
        <row r="74">
          <cell r="C74" t="str">
            <v>Ravensdale Infant and Nursery School</v>
          </cell>
          <cell r="D74">
            <v>2462</v>
          </cell>
          <cell r="F74" t="str">
            <v/>
          </cell>
          <cell r="G74">
            <v>0</v>
          </cell>
          <cell r="H74">
            <v>28692</v>
          </cell>
          <cell r="I74">
            <v>0</v>
          </cell>
          <cell r="J74">
            <v>0</v>
          </cell>
          <cell r="L74">
            <v>100319.60517957443</v>
          </cell>
          <cell r="M74">
            <v>28692</v>
          </cell>
          <cell r="N74">
            <v>30.202105263157893</v>
          </cell>
          <cell r="S74">
            <v>0</v>
          </cell>
          <cell r="T74">
            <v>0</v>
          </cell>
          <cell r="U74">
            <v>75</v>
          </cell>
          <cell r="Y74">
            <v>72</v>
          </cell>
          <cell r="Z74">
            <v>74</v>
          </cell>
          <cell r="AA74">
            <v>0</v>
          </cell>
          <cell r="AB74">
            <v>0</v>
          </cell>
          <cell r="AC74">
            <v>0</v>
          </cell>
          <cell r="AD74">
            <v>0</v>
          </cell>
          <cell r="AK74">
            <v>575756.57504603826</v>
          </cell>
          <cell r="AL74">
            <v>221</v>
          </cell>
          <cell r="BS74">
            <v>719.52239999999995</v>
          </cell>
          <cell r="BT74">
            <v>0</v>
          </cell>
          <cell r="BU74">
            <v>348.15600000000001</v>
          </cell>
          <cell r="BV74">
            <v>0</v>
          </cell>
          <cell r="BW74">
            <v>0</v>
          </cell>
          <cell r="BX74">
            <v>-2105.2171999999991</v>
          </cell>
          <cell r="BY74">
            <v>0</v>
          </cell>
          <cell r="BZ74">
            <v>0</v>
          </cell>
          <cell r="CA74">
            <v>0</v>
          </cell>
          <cell r="CB74">
            <v>0</v>
          </cell>
          <cell r="CC74">
            <v>0</v>
          </cell>
          <cell r="CD74">
            <v>0</v>
          </cell>
          <cell r="CE74">
            <v>-1037.5387999999991</v>
          </cell>
          <cell r="CF74">
            <v>34020.916695056439</v>
          </cell>
          <cell r="CI74">
            <v>0</v>
          </cell>
          <cell r="CJ74">
            <v>0</v>
          </cell>
          <cell r="CK74">
            <v>4485.6400000000003</v>
          </cell>
          <cell r="CL74">
            <v>3562.7903910004861</v>
          </cell>
          <cell r="CM74">
            <v>42069.347086056921</v>
          </cell>
          <cell r="CQ74">
            <v>6855.5786350148364</v>
          </cell>
          <cell r="CR74">
            <v>3416.51</v>
          </cell>
          <cell r="CS74">
            <v>9093.8367068066545</v>
          </cell>
          <cell r="CT74">
            <v>19365.92534182149</v>
          </cell>
          <cell r="CU74">
            <v>9134.8512010215345</v>
          </cell>
          <cell r="CV74">
            <v>0</v>
          </cell>
          <cell r="CW74">
            <v>9134.8512010215345</v>
          </cell>
          <cell r="CX74">
            <v>0</v>
          </cell>
          <cell r="CZ74">
            <v>0</v>
          </cell>
          <cell r="DC74">
            <v>0</v>
          </cell>
          <cell r="DD74">
            <v>41616.468966450775</v>
          </cell>
          <cell r="DE74">
            <v>27513.153184666957</v>
          </cell>
          <cell r="DF74">
            <v>4280.5871237630872</v>
          </cell>
          <cell r="DG74">
            <v>0</v>
          </cell>
          <cell r="DH74">
            <v>0</v>
          </cell>
          <cell r="DI74">
            <v>73410.209274880821</v>
          </cell>
          <cell r="DJ74">
            <v>0</v>
          </cell>
          <cell r="DK74">
            <v>12824</v>
          </cell>
          <cell r="DL74">
            <v>5405.17</v>
          </cell>
          <cell r="DM74">
            <v>70073.495851086889</v>
          </cell>
          <cell r="DN74">
            <v>0</v>
          </cell>
          <cell r="DO74">
            <v>0</v>
          </cell>
          <cell r="DP74">
            <v>0</v>
          </cell>
          <cell r="DQ74">
            <v>88302.665851086887</v>
          </cell>
          <cell r="DR74">
            <v>0</v>
          </cell>
          <cell r="DS74">
            <v>0</v>
          </cell>
          <cell r="DT74">
            <v>0</v>
          </cell>
          <cell r="DU74">
            <v>0</v>
          </cell>
          <cell r="DV74">
            <v>0</v>
          </cell>
          <cell r="DW74">
            <v>0</v>
          </cell>
          <cell r="DX74">
            <v>0</v>
          </cell>
          <cell r="DY74">
            <v>4901.7591636015777</v>
          </cell>
          <cell r="DZ74">
            <v>0</v>
          </cell>
          <cell r="EA74">
            <v>0</v>
          </cell>
          <cell r="EB74">
            <v>4901.7591636015777</v>
          </cell>
          <cell r="EE74">
            <v>0</v>
          </cell>
          <cell r="EH74">
            <v>0</v>
          </cell>
          <cell r="EI74">
            <v>0</v>
          </cell>
          <cell r="EK74">
            <v>0</v>
          </cell>
          <cell r="EL74">
            <v>-2127</v>
          </cell>
          <cell r="EM74">
            <v>0</v>
          </cell>
          <cell r="EO74">
            <v>-2127</v>
          </cell>
          <cell r="EP74">
            <v>0</v>
          </cell>
          <cell r="EQ74">
            <v>99282.066379574433</v>
          </cell>
          <cell r="ER74">
            <v>910096.39934408199</v>
          </cell>
          <cell r="ET74">
            <v>251.2021052631579</v>
          </cell>
          <cell r="EU74">
            <v>3622.964856885535</v>
          </cell>
          <cell r="EV74" t="str">
            <v>No Variation Applied</v>
          </cell>
          <cell r="EW74">
            <v>18600</v>
          </cell>
          <cell r="EX74">
            <v>0</v>
          </cell>
          <cell r="EY74">
            <v>0</v>
          </cell>
          <cell r="EZ74">
            <v>79823.515495143933</v>
          </cell>
        </row>
        <row r="75">
          <cell r="C75" t="str">
            <v>Ravensdale Junior School</v>
          </cell>
          <cell r="D75">
            <v>2463</v>
          </cell>
          <cell r="F75" t="str">
            <v/>
          </cell>
          <cell r="G75">
            <v>0</v>
          </cell>
          <cell r="H75">
            <v>0</v>
          </cell>
          <cell r="I75">
            <v>0</v>
          </cell>
          <cell r="J75">
            <v>0</v>
          </cell>
          <cell r="L75">
            <v>0</v>
          </cell>
          <cell r="M75">
            <v>0</v>
          </cell>
          <cell r="N75">
            <v>0</v>
          </cell>
          <cell r="S75">
            <v>0</v>
          </cell>
          <cell r="T75">
            <v>0</v>
          </cell>
          <cell r="U75">
            <v>0</v>
          </cell>
          <cell r="Y75">
            <v>0</v>
          </cell>
          <cell r="Z75">
            <v>0</v>
          </cell>
          <cell r="AA75">
            <v>72</v>
          </cell>
          <cell r="AB75">
            <v>75</v>
          </cell>
          <cell r="AC75">
            <v>71</v>
          </cell>
          <cell r="AD75">
            <v>60</v>
          </cell>
          <cell r="AK75">
            <v>714266.26980863197</v>
          </cell>
          <cell r="AL75">
            <v>278</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I75">
            <v>0</v>
          </cell>
          <cell r="CJ75">
            <v>0</v>
          </cell>
          <cell r="CK75">
            <v>5642.57</v>
          </cell>
          <cell r="CL75">
            <v>4043.7286187273335</v>
          </cell>
          <cell r="CM75">
            <v>9686.2986187273327</v>
          </cell>
          <cell r="CQ75">
            <v>2285.1928783382787</v>
          </cell>
          <cell r="CR75">
            <v>4220.3999999999996</v>
          </cell>
          <cell r="CS75">
            <v>7881.3251458990999</v>
          </cell>
          <cell r="CT75">
            <v>14386.918024237379</v>
          </cell>
          <cell r="CU75">
            <v>9134.8512010215345</v>
          </cell>
          <cell r="CV75">
            <v>0</v>
          </cell>
          <cell r="CW75">
            <v>9134.8512010215345</v>
          </cell>
          <cell r="CX75">
            <v>0</v>
          </cell>
          <cell r="CZ75">
            <v>0</v>
          </cell>
          <cell r="DC75">
            <v>0</v>
          </cell>
          <cell r="DD75">
            <v>45834.155048805456</v>
          </cell>
          <cell r="DE75">
            <v>17280.988777146187</v>
          </cell>
          <cell r="DF75">
            <v>2568.3522742578525</v>
          </cell>
          <cell r="DG75">
            <v>0</v>
          </cell>
          <cell r="DH75">
            <v>0</v>
          </cell>
          <cell r="DI75">
            <v>65683.496100209493</v>
          </cell>
          <cell r="DJ75">
            <v>0</v>
          </cell>
          <cell r="DK75">
            <v>12824</v>
          </cell>
          <cell r="DL75">
            <v>4623.2299999999996</v>
          </cell>
          <cell r="DM75">
            <v>70073.495851086889</v>
          </cell>
          <cell r="DN75">
            <v>0</v>
          </cell>
          <cell r="DO75">
            <v>0</v>
          </cell>
          <cell r="DP75">
            <v>0</v>
          </cell>
          <cell r="DQ75">
            <v>87520.725851086885</v>
          </cell>
          <cell r="DR75">
            <v>0</v>
          </cell>
          <cell r="DS75">
            <v>0</v>
          </cell>
          <cell r="DT75">
            <v>0</v>
          </cell>
          <cell r="DU75">
            <v>0</v>
          </cell>
          <cell r="DV75">
            <v>0</v>
          </cell>
          <cell r="DW75">
            <v>0</v>
          </cell>
          <cell r="DX75">
            <v>0</v>
          </cell>
          <cell r="DY75">
            <v>1633.9197212005261</v>
          </cell>
          <cell r="DZ75">
            <v>0</v>
          </cell>
          <cell r="EA75">
            <v>0</v>
          </cell>
          <cell r="EB75">
            <v>1633.9197212005261</v>
          </cell>
          <cell r="EE75">
            <v>0</v>
          </cell>
          <cell r="EH75">
            <v>0</v>
          </cell>
          <cell r="EI75">
            <v>0</v>
          </cell>
          <cell r="EK75">
            <v>0</v>
          </cell>
          <cell r="EL75">
            <v>0</v>
          </cell>
          <cell r="EM75">
            <v>0</v>
          </cell>
          <cell r="EO75">
            <v>0</v>
          </cell>
          <cell r="EP75">
            <v>0</v>
          </cell>
          <cell r="EQ75">
            <v>0</v>
          </cell>
          <cell r="ER75">
            <v>902312.47932511522</v>
          </cell>
          <cell r="ET75">
            <v>278</v>
          </cell>
          <cell r="EU75">
            <v>3245.7283428960977</v>
          </cell>
          <cell r="EV75" t="str">
            <v>No Variation Applied</v>
          </cell>
          <cell r="EW75">
            <v>29050</v>
          </cell>
          <cell r="EX75">
            <v>0</v>
          </cell>
          <cell r="EY75">
            <v>0</v>
          </cell>
          <cell r="EZ75">
            <v>77337.278475077095</v>
          </cell>
        </row>
        <row r="76">
          <cell r="C76" t="str">
            <v>Asterdale Primary School</v>
          </cell>
          <cell r="D76">
            <v>2464</v>
          </cell>
          <cell r="F76" t="str">
            <v/>
          </cell>
          <cell r="G76">
            <v>0</v>
          </cell>
          <cell r="H76">
            <v>24480</v>
          </cell>
          <cell r="I76">
            <v>0</v>
          </cell>
          <cell r="J76">
            <v>0</v>
          </cell>
          <cell r="L76">
            <v>85592.636790603021</v>
          </cell>
          <cell r="M76">
            <v>24480</v>
          </cell>
          <cell r="N76">
            <v>25.768421052631577</v>
          </cell>
          <cell r="S76">
            <v>0</v>
          </cell>
          <cell r="T76">
            <v>0</v>
          </cell>
          <cell r="U76">
            <v>30</v>
          </cell>
          <cell r="Y76">
            <v>30</v>
          </cell>
          <cell r="Z76">
            <v>19</v>
          </cell>
          <cell r="AA76">
            <v>24</v>
          </cell>
          <cell r="AB76">
            <v>22</v>
          </cell>
          <cell r="AC76">
            <v>20</v>
          </cell>
          <cell r="AD76">
            <v>24</v>
          </cell>
          <cell r="AK76">
            <v>438506.81433442369</v>
          </cell>
          <cell r="AL76">
            <v>169</v>
          </cell>
          <cell r="BS76">
            <v>3249.4560000000001</v>
          </cell>
          <cell r="BT76">
            <v>0</v>
          </cell>
          <cell r="BU76">
            <v>0</v>
          </cell>
          <cell r="BV76">
            <v>0</v>
          </cell>
          <cell r="BW76">
            <v>0</v>
          </cell>
          <cell r="BX76">
            <v>-9654.2710156044486</v>
          </cell>
          <cell r="BY76">
            <v>0</v>
          </cell>
          <cell r="BZ76">
            <v>0</v>
          </cell>
          <cell r="CA76">
            <v>0</v>
          </cell>
          <cell r="CB76">
            <v>0</v>
          </cell>
          <cell r="CC76">
            <v>0</v>
          </cell>
          <cell r="CD76">
            <v>0</v>
          </cell>
          <cell r="CE76">
            <v>-6404.8150156044485</v>
          </cell>
          <cell r="CF76">
            <v>11340.305565018814</v>
          </cell>
          <cell r="CI76">
            <v>0</v>
          </cell>
          <cell r="CJ76">
            <v>0</v>
          </cell>
          <cell r="CK76">
            <v>3430.19</v>
          </cell>
          <cell r="CL76">
            <v>2962.5794827973805</v>
          </cell>
          <cell r="CM76">
            <v>17733.075047816194</v>
          </cell>
          <cell r="CQ76">
            <v>3046.9238377843717</v>
          </cell>
          <cell r="CR76">
            <v>602.91</v>
          </cell>
          <cell r="CS76">
            <v>2829.1936421176256</v>
          </cell>
          <cell r="CT76">
            <v>6479.0274799019971</v>
          </cell>
          <cell r="CU76">
            <v>0</v>
          </cell>
          <cell r="CV76">
            <v>0</v>
          </cell>
          <cell r="CW76">
            <v>0</v>
          </cell>
          <cell r="CX76">
            <v>0</v>
          </cell>
          <cell r="CZ76">
            <v>0</v>
          </cell>
          <cell r="DC76">
            <v>0</v>
          </cell>
          <cell r="DD76">
            <v>66775.113919237818</v>
          </cell>
          <cell r="DE76">
            <v>24102.431715493367</v>
          </cell>
          <cell r="DF76">
            <v>14553.996220794497</v>
          </cell>
          <cell r="DG76">
            <v>0</v>
          </cell>
          <cell r="DH76">
            <v>0</v>
          </cell>
          <cell r="DI76">
            <v>105431.54185552568</v>
          </cell>
          <cell r="DJ76">
            <v>0</v>
          </cell>
          <cell r="DK76">
            <v>12137</v>
          </cell>
          <cell r="DL76">
            <v>5904.43</v>
          </cell>
          <cell r="DM76">
            <v>74722.185859261808</v>
          </cell>
          <cell r="DN76">
            <v>0</v>
          </cell>
          <cell r="DO76">
            <v>0</v>
          </cell>
          <cell r="DP76">
            <v>0</v>
          </cell>
          <cell r="DQ76">
            <v>92763.615859261801</v>
          </cell>
          <cell r="DR76">
            <v>0</v>
          </cell>
          <cell r="DS76">
            <v>0</v>
          </cell>
          <cell r="DT76">
            <v>0</v>
          </cell>
          <cell r="DU76">
            <v>0</v>
          </cell>
          <cell r="DV76">
            <v>0</v>
          </cell>
          <cell r="DW76">
            <v>0</v>
          </cell>
          <cell r="DX76">
            <v>0</v>
          </cell>
          <cell r="DY76">
            <v>3594.6233866411571</v>
          </cell>
          <cell r="DZ76">
            <v>0</v>
          </cell>
          <cell r="EA76">
            <v>0</v>
          </cell>
          <cell r="EB76">
            <v>3594.6233866411571</v>
          </cell>
          <cell r="EE76">
            <v>0</v>
          </cell>
          <cell r="EH76">
            <v>0</v>
          </cell>
          <cell r="EI76">
            <v>0</v>
          </cell>
          <cell r="EK76">
            <v>0</v>
          </cell>
          <cell r="EL76">
            <v>0</v>
          </cell>
          <cell r="EM76">
            <v>0</v>
          </cell>
          <cell r="EO76">
            <v>0</v>
          </cell>
          <cell r="EP76">
            <v>56501.791736711632</v>
          </cell>
          <cell r="EQ76">
            <v>79187.821774998578</v>
          </cell>
          <cell r="ER76">
            <v>800198.31147528079</v>
          </cell>
          <cell r="ET76">
            <v>194.76842105263157</v>
          </cell>
          <cell r="EU76">
            <v>4108.4602275388679</v>
          </cell>
          <cell r="EV76" t="str">
            <v>No Variation Applied</v>
          </cell>
          <cell r="EW76">
            <v>33850</v>
          </cell>
          <cell r="EX76">
            <v>0</v>
          </cell>
          <cell r="EY76">
            <v>0</v>
          </cell>
          <cell r="EZ76">
            <v>95662.088380269473</v>
          </cell>
        </row>
        <row r="77">
          <cell r="C77" t="str">
            <v>Springfield Primary School</v>
          </cell>
          <cell r="D77">
            <v>2466</v>
          </cell>
          <cell r="F77" t="str">
            <v/>
          </cell>
          <cell r="G77">
            <v>0</v>
          </cell>
          <cell r="H77">
            <v>0</v>
          </cell>
          <cell r="I77">
            <v>0</v>
          </cell>
          <cell r="J77">
            <v>0</v>
          </cell>
          <cell r="L77">
            <v>0</v>
          </cell>
          <cell r="M77">
            <v>0</v>
          </cell>
          <cell r="N77">
            <v>0</v>
          </cell>
          <cell r="S77">
            <v>0</v>
          </cell>
          <cell r="T77">
            <v>0</v>
          </cell>
          <cell r="U77">
            <v>27</v>
          </cell>
          <cell r="Y77">
            <v>17</v>
          </cell>
          <cell r="Z77">
            <v>5</v>
          </cell>
          <cell r="AA77">
            <v>28</v>
          </cell>
          <cell r="AB77">
            <v>17</v>
          </cell>
          <cell r="AC77">
            <v>20</v>
          </cell>
          <cell r="AD77">
            <v>23</v>
          </cell>
          <cell r="AK77">
            <v>358488.97290738375</v>
          </cell>
          <cell r="AL77">
            <v>137</v>
          </cell>
          <cell r="BS77">
            <v>0</v>
          </cell>
          <cell r="BT77">
            <v>0</v>
          </cell>
          <cell r="BU77">
            <v>0</v>
          </cell>
          <cell r="BV77">
            <v>0</v>
          </cell>
          <cell r="BW77">
            <v>0</v>
          </cell>
          <cell r="BX77">
            <v>0</v>
          </cell>
          <cell r="BY77">
            <v>0</v>
          </cell>
          <cell r="BZ77">
            <v>0</v>
          </cell>
          <cell r="CA77">
            <v>0</v>
          </cell>
          <cell r="CB77">
            <v>0</v>
          </cell>
          <cell r="CC77">
            <v>0</v>
          </cell>
          <cell r="CD77">
            <v>0</v>
          </cell>
          <cell r="CE77">
            <v>0</v>
          </cell>
          <cell r="CF77">
            <v>11340.305565018814</v>
          </cell>
          <cell r="CI77">
            <v>0</v>
          </cell>
          <cell r="CJ77">
            <v>0</v>
          </cell>
          <cell r="CK77">
            <v>2780.69</v>
          </cell>
          <cell r="CL77">
            <v>961.87645545369503</v>
          </cell>
          <cell r="CM77">
            <v>15082.87202047251</v>
          </cell>
          <cell r="CQ77">
            <v>3808.6547972304647</v>
          </cell>
          <cell r="CR77">
            <v>602.91</v>
          </cell>
          <cell r="CS77">
            <v>2829.1936421176256</v>
          </cell>
          <cell r="CT77">
            <v>7240.7584393480902</v>
          </cell>
          <cell r="CU77">
            <v>21022.671257145448</v>
          </cell>
          <cell r="CV77">
            <v>0</v>
          </cell>
          <cell r="CW77">
            <v>21022.671257145448</v>
          </cell>
          <cell r="CX77">
            <v>0</v>
          </cell>
          <cell r="CZ77">
            <v>0</v>
          </cell>
          <cell r="DC77">
            <v>0</v>
          </cell>
          <cell r="DD77">
            <v>35820.837391746609</v>
          </cell>
          <cell r="DE77">
            <v>6594.06150706894</v>
          </cell>
          <cell r="DF77">
            <v>3424.4696990104699</v>
          </cell>
          <cell r="DG77">
            <v>0</v>
          </cell>
          <cell r="DH77">
            <v>0</v>
          </cell>
          <cell r="DI77">
            <v>45839.368597826018</v>
          </cell>
          <cell r="DJ77">
            <v>0</v>
          </cell>
          <cell r="DK77">
            <v>11450</v>
          </cell>
          <cell r="DL77">
            <v>4226.3500000000004</v>
          </cell>
          <cell r="DM77">
            <v>74722.185859261808</v>
          </cell>
          <cell r="DN77">
            <v>0</v>
          </cell>
          <cell r="DO77">
            <v>0</v>
          </cell>
          <cell r="DP77">
            <v>0</v>
          </cell>
          <cell r="DQ77">
            <v>90398.535859261814</v>
          </cell>
          <cell r="DR77">
            <v>0</v>
          </cell>
          <cell r="DS77">
            <v>0</v>
          </cell>
          <cell r="DT77">
            <v>0</v>
          </cell>
          <cell r="DU77">
            <v>0</v>
          </cell>
          <cell r="DV77">
            <v>0</v>
          </cell>
          <cell r="DW77">
            <v>0</v>
          </cell>
          <cell r="DX77">
            <v>0</v>
          </cell>
          <cell r="DY77">
            <v>5555.3270520817887</v>
          </cell>
          <cell r="DZ77">
            <v>0</v>
          </cell>
          <cell r="EA77">
            <v>6494.1886918701339</v>
          </cell>
          <cell r="EB77">
            <v>12049.515743951923</v>
          </cell>
          <cell r="EE77">
            <v>0</v>
          </cell>
          <cell r="EH77">
            <v>0</v>
          </cell>
          <cell r="EI77">
            <v>3271.3254999999999</v>
          </cell>
          <cell r="EK77">
            <v>0</v>
          </cell>
          <cell r="EL77">
            <v>4255</v>
          </cell>
          <cell r="EM77">
            <v>0</v>
          </cell>
          <cell r="EO77">
            <v>7526.3254999999999</v>
          </cell>
          <cell r="EP77">
            <v>16662.874748644535</v>
          </cell>
          <cell r="EQ77">
            <v>0</v>
          </cell>
          <cell r="ER77">
            <v>574311.89507403411</v>
          </cell>
          <cell r="ET77">
            <v>137</v>
          </cell>
          <cell r="EU77">
            <v>4192.057628277621</v>
          </cell>
          <cell r="EV77" t="str">
            <v>No Variation Applied</v>
          </cell>
          <cell r="EW77">
            <v>23400</v>
          </cell>
          <cell r="EX77">
            <v>0</v>
          </cell>
          <cell r="EY77">
            <v>0</v>
          </cell>
          <cell r="EZ77">
            <v>75981.186050269171</v>
          </cell>
        </row>
        <row r="78">
          <cell r="C78" t="str">
            <v>Chaddesden Park Infant School</v>
          </cell>
          <cell r="D78">
            <v>2467</v>
          </cell>
          <cell r="F78" t="str">
            <v/>
          </cell>
          <cell r="G78">
            <v>0</v>
          </cell>
          <cell r="H78">
            <v>28110</v>
          </cell>
          <cell r="I78">
            <v>0</v>
          </cell>
          <cell r="J78">
            <v>0</v>
          </cell>
          <cell r="L78">
            <v>98284.682197052738</v>
          </cell>
          <cell r="M78">
            <v>28110</v>
          </cell>
          <cell r="N78">
            <v>29.589473684210525</v>
          </cell>
          <cell r="S78">
            <v>0</v>
          </cell>
          <cell r="T78">
            <v>0</v>
          </cell>
          <cell r="U78">
            <v>54</v>
          </cell>
          <cell r="Y78">
            <v>60</v>
          </cell>
          <cell r="Z78">
            <v>43</v>
          </cell>
          <cell r="AA78">
            <v>0</v>
          </cell>
          <cell r="AB78">
            <v>0</v>
          </cell>
          <cell r="AC78">
            <v>0</v>
          </cell>
          <cell r="AD78">
            <v>0</v>
          </cell>
          <cell r="AK78">
            <v>409350.03549839929</v>
          </cell>
          <cell r="AL78">
            <v>157</v>
          </cell>
          <cell r="BS78">
            <v>7852.8519999999999</v>
          </cell>
          <cell r="BT78">
            <v>0</v>
          </cell>
          <cell r="BU78">
            <v>116.05200000000001</v>
          </cell>
          <cell r="BV78">
            <v>0</v>
          </cell>
          <cell r="BW78">
            <v>0</v>
          </cell>
          <cell r="BX78">
            <v>7343.5443999999989</v>
          </cell>
          <cell r="BY78">
            <v>0</v>
          </cell>
          <cell r="BZ78">
            <v>3011.5493999999999</v>
          </cell>
          <cell r="CA78">
            <v>0</v>
          </cell>
          <cell r="CB78">
            <v>0</v>
          </cell>
          <cell r="CC78">
            <v>0</v>
          </cell>
          <cell r="CD78">
            <v>0</v>
          </cell>
          <cell r="CE78">
            <v>18323.997799999997</v>
          </cell>
          <cell r="CF78">
            <v>22680.611130037629</v>
          </cell>
          <cell r="CI78">
            <v>0</v>
          </cell>
          <cell r="CJ78">
            <v>0</v>
          </cell>
          <cell r="CK78">
            <v>3186.63</v>
          </cell>
          <cell r="CL78">
            <v>1569.7823753004302</v>
          </cell>
          <cell r="CM78">
            <v>27437.02350533806</v>
          </cell>
          <cell r="CQ78">
            <v>2285.1928783382787</v>
          </cell>
          <cell r="CR78">
            <v>401.94</v>
          </cell>
          <cell r="CS78">
            <v>1818.7673413613309</v>
          </cell>
          <cell r="CT78">
            <v>4505.9002196996098</v>
          </cell>
          <cell r="CU78">
            <v>0</v>
          </cell>
          <cell r="CV78">
            <v>0</v>
          </cell>
          <cell r="CW78">
            <v>0</v>
          </cell>
          <cell r="CX78">
            <v>0</v>
          </cell>
          <cell r="CZ78">
            <v>0</v>
          </cell>
          <cell r="DC78">
            <v>0</v>
          </cell>
          <cell r="DD78">
            <v>53443.686582004826</v>
          </cell>
          <cell r="DE78">
            <v>42747.709080308989</v>
          </cell>
          <cell r="DF78">
            <v>6848.9393980209397</v>
          </cell>
          <cell r="DG78">
            <v>0</v>
          </cell>
          <cell r="DH78">
            <v>0</v>
          </cell>
          <cell r="DI78">
            <v>103040.33506033476</v>
          </cell>
          <cell r="DJ78">
            <v>0</v>
          </cell>
          <cell r="DK78">
            <v>6125.75</v>
          </cell>
          <cell r="DL78">
            <v>2139.83</v>
          </cell>
          <cell r="DM78">
            <v>74722.185859261808</v>
          </cell>
          <cell r="DN78">
            <v>0</v>
          </cell>
          <cell r="DO78">
            <v>0</v>
          </cell>
          <cell r="DP78">
            <v>0</v>
          </cell>
          <cell r="DQ78">
            <v>82987.76585926181</v>
          </cell>
          <cell r="DR78">
            <v>0</v>
          </cell>
          <cell r="DS78">
            <v>0</v>
          </cell>
          <cell r="DT78">
            <v>0</v>
          </cell>
          <cell r="DU78">
            <v>0</v>
          </cell>
          <cell r="DV78">
            <v>0</v>
          </cell>
          <cell r="DW78">
            <v>0</v>
          </cell>
          <cell r="DX78">
            <v>0</v>
          </cell>
          <cell r="DY78">
            <v>4574.9752193614731</v>
          </cell>
          <cell r="DZ78">
            <v>0</v>
          </cell>
          <cell r="EA78">
            <v>0</v>
          </cell>
          <cell r="EB78">
            <v>4574.9752193614731</v>
          </cell>
          <cell r="EE78">
            <v>0</v>
          </cell>
          <cell r="EH78">
            <v>0</v>
          </cell>
          <cell r="EI78">
            <v>0</v>
          </cell>
          <cell r="EK78">
            <v>0</v>
          </cell>
          <cell r="EL78">
            <v>0</v>
          </cell>
          <cell r="EM78">
            <v>0</v>
          </cell>
          <cell r="EO78">
            <v>0</v>
          </cell>
          <cell r="EP78">
            <v>0</v>
          </cell>
          <cell r="EQ78">
            <v>116608.67999705274</v>
          </cell>
          <cell r="ER78">
            <v>748504.71535944776</v>
          </cell>
          <cell r="ET78">
            <v>186.58947368421053</v>
          </cell>
          <cell r="EU78">
            <v>4011.5055827116967</v>
          </cell>
          <cell r="EV78" t="str">
            <v>No Variation Applied</v>
          </cell>
          <cell r="EW78">
            <v>23650</v>
          </cell>
          <cell r="EX78">
            <v>0</v>
          </cell>
          <cell r="EY78">
            <v>0</v>
          </cell>
          <cell r="EZ78">
            <v>77267.529557503192</v>
          </cell>
        </row>
        <row r="79">
          <cell r="C79" t="str">
            <v>Silverhill Primary School</v>
          </cell>
          <cell r="D79">
            <v>2469</v>
          </cell>
          <cell r="F79" t="str">
            <v/>
          </cell>
          <cell r="G79">
            <v>0</v>
          </cell>
          <cell r="H79">
            <v>0</v>
          </cell>
          <cell r="I79">
            <v>0</v>
          </cell>
          <cell r="J79">
            <v>0</v>
          </cell>
          <cell r="L79">
            <v>0</v>
          </cell>
          <cell r="M79">
            <v>0</v>
          </cell>
          <cell r="N79">
            <v>0</v>
          </cell>
          <cell r="S79">
            <v>0</v>
          </cell>
          <cell r="T79">
            <v>0</v>
          </cell>
          <cell r="U79">
            <v>54</v>
          </cell>
          <cell r="Y79">
            <v>51</v>
          </cell>
          <cell r="Z79">
            <v>58</v>
          </cell>
          <cell r="AA79">
            <v>58</v>
          </cell>
          <cell r="AB79">
            <v>53</v>
          </cell>
          <cell r="AC79">
            <v>50</v>
          </cell>
          <cell r="AD79">
            <v>40</v>
          </cell>
          <cell r="AK79">
            <v>940481.94137394987</v>
          </cell>
          <cell r="AL79">
            <v>364</v>
          </cell>
          <cell r="BS79">
            <v>0</v>
          </cell>
          <cell r="BT79">
            <v>0</v>
          </cell>
          <cell r="BU79">
            <v>0</v>
          </cell>
          <cell r="BV79">
            <v>0</v>
          </cell>
          <cell r="BW79">
            <v>0</v>
          </cell>
          <cell r="BX79">
            <v>0</v>
          </cell>
          <cell r="BY79">
            <v>0</v>
          </cell>
          <cell r="BZ79">
            <v>0</v>
          </cell>
          <cell r="CA79">
            <v>0</v>
          </cell>
          <cell r="CB79">
            <v>0</v>
          </cell>
          <cell r="CC79">
            <v>0</v>
          </cell>
          <cell r="CD79">
            <v>0</v>
          </cell>
          <cell r="CE79">
            <v>0</v>
          </cell>
          <cell r="CF79">
            <v>34020.916695056439</v>
          </cell>
          <cell r="CI79">
            <v>0</v>
          </cell>
          <cell r="CJ79">
            <v>0</v>
          </cell>
          <cell r="CK79">
            <v>7388.11</v>
          </cell>
          <cell r="CL79">
            <v>5036.3851207555472</v>
          </cell>
          <cell r="CM79">
            <v>46445.411815811989</v>
          </cell>
          <cell r="CQ79">
            <v>3046.9238377843717</v>
          </cell>
          <cell r="CR79">
            <v>3416.51</v>
          </cell>
          <cell r="CS79">
            <v>13337.627169983092</v>
          </cell>
          <cell r="CT79">
            <v>19801.061007767465</v>
          </cell>
          <cell r="CU79">
            <v>13014.034587756705</v>
          </cell>
          <cell r="CV79">
            <v>9009.7162530623336</v>
          </cell>
          <cell r="CW79">
            <v>22023.750840819041</v>
          </cell>
          <cell r="CX79">
            <v>0</v>
          </cell>
          <cell r="CZ79">
            <v>0</v>
          </cell>
          <cell r="DC79">
            <v>0</v>
          </cell>
          <cell r="DD79">
            <v>48636.114334285841</v>
          </cell>
          <cell r="DE79">
            <v>24784.576009328084</v>
          </cell>
          <cell r="DF79">
            <v>4280.5871237630872</v>
          </cell>
          <cell r="DG79">
            <v>0</v>
          </cell>
          <cell r="DH79">
            <v>0</v>
          </cell>
          <cell r="DI79">
            <v>77701.277467377018</v>
          </cell>
          <cell r="DJ79">
            <v>0</v>
          </cell>
          <cell r="DK79">
            <v>13396.5</v>
          </cell>
          <cell r="DL79">
            <v>4408.53</v>
          </cell>
          <cell r="DM79">
            <v>70073.495851086889</v>
          </cell>
          <cell r="DN79">
            <v>0</v>
          </cell>
          <cell r="DO79">
            <v>0</v>
          </cell>
          <cell r="DP79">
            <v>0</v>
          </cell>
          <cell r="DQ79">
            <v>87878.525851086888</v>
          </cell>
          <cell r="DR79">
            <v>0</v>
          </cell>
          <cell r="DS79">
            <v>0</v>
          </cell>
          <cell r="DT79">
            <v>0</v>
          </cell>
          <cell r="DU79">
            <v>0</v>
          </cell>
          <cell r="DV79">
            <v>0</v>
          </cell>
          <cell r="DW79">
            <v>0</v>
          </cell>
          <cell r="DX79">
            <v>0</v>
          </cell>
          <cell r="DY79">
            <v>11437.438048403683</v>
          </cell>
          <cell r="DZ79">
            <v>0</v>
          </cell>
          <cell r="EA79">
            <v>0</v>
          </cell>
          <cell r="EB79">
            <v>11437.438048403683</v>
          </cell>
          <cell r="EE79">
            <v>0</v>
          </cell>
          <cell r="EH79">
            <v>0</v>
          </cell>
          <cell r="EI79">
            <v>8672.2829999999994</v>
          </cell>
          <cell r="EK79">
            <v>0</v>
          </cell>
          <cell r="EL79">
            <v>2252</v>
          </cell>
          <cell r="EM79">
            <v>0</v>
          </cell>
          <cell r="EO79">
            <v>10924.282999999999</v>
          </cell>
          <cell r="EP79">
            <v>0</v>
          </cell>
          <cell r="EQ79">
            <v>0</v>
          </cell>
          <cell r="ER79">
            <v>1216693.6894052161</v>
          </cell>
          <cell r="ET79">
            <v>364</v>
          </cell>
          <cell r="EU79">
            <v>3342.5650807835609</v>
          </cell>
          <cell r="EV79" t="str">
            <v>No Variation Applied</v>
          </cell>
          <cell r="EW79">
            <v>30600</v>
          </cell>
          <cell r="EX79">
            <v>0</v>
          </cell>
          <cell r="EY79">
            <v>0</v>
          </cell>
          <cell r="EZ79">
            <v>108108.90791141952</v>
          </cell>
        </row>
        <row r="80">
          <cell r="C80" t="str">
            <v>Oakwood Junior School</v>
          </cell>
          <cell r="D80">
            <v>2471</v>
          </cell>
          <cell r="F80" t="str">
            <v/>
          </cell>
          <cell r="G80">
            <v>0</v>
          </cell>
          <cell r="H80">
            <v>0</v>
          </cell>
          <cell r="I80">
            <v>0</v>
          </cell>
          <cell r="J80">
            <v>0</v>
          </cell>
          <cell r="L80">
            <v>0</v>
          </cell>
          <cell r="M80">
            <v>0</v>
          </cell>
          <cell r="N80">
            <v>0</v>
          </cell>
          <cell r="S80">
            <v>0</v>
          </cell>
          <cell r="T80">
            <v>0</v>
          </cell>
          <cell r="U80">
            <v>0</v>
          </cell>
          <cell r="Y80">
            <v>0</v>
          </cell>
          <cell r="Z80">
            <v>0</v>
          </cell>
          <cell r="AA80">
            <v>91</v>
          </cell>
          <cell r="AB80">
            <v>81</v>
          </cell>
          <cell r="AC80">
            <v>90</v>
          </cell>
          <cell r="AD80">
            <v>82</v>
          </cell>
          <cell r="AK80">
            <v>883840.2763099618</v>
          </cell>
          <cell r="AL80">
            <v>344</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I80">
            <v>0</v>
          </cell>
          <cell r="CJ80">
            <v>0</v>
          </cell>
          <cell r="CK80">
            <v>6982.17</v>
          </cell>
          <cell r="CL80">
            <v>3027.0252053127783</v>
          </cell>
          <cell r="CM80">
            <v>10009.195205312779</v>
          </cell>
          <cell r="CQ80">
            <v>8379.0405539070216</v>
          </cell>
          <cell r="CR80">
            <v>2210.69</v>
          </cell>
          <cell r="CS80">
            <v>5860.47254438651</v>
          </cell>
          <cell r="CT80">
            <v>16450.203098293532</v>
          </cell>
          <cell r="CU80">
            <v>9760.525940817528</v>
          </cell>
          <cell r="CV80">
            <v>0</v>
          </cell>
          <cell r="CW80">
            <v>9760.525940817528</v>
          </cell>
          <cell r="CX80">
            <v>0</v>
          </cell>
          <cell r="CZ80">
            <v>0</v>
          </cell>
          <cell r="DC80">
            <v>0</v>
          </cell>
          <cell r="DD80">
            <v>133771.43515048723</v>
          </cell>
          <cell r="DE80">
            <v>118010.9628334062</v>
          </cell>
          <cell r="DF80">
            <v>12841.761371289262</v>
          </cell>
          <cell r="DG80">
            <v>0</v>
          </cell>
          <cell r="DH80">
            <v>0</v>
          </cell>
          <cell r="DI80">
            <v>264624.15935518267</v>
          </cell>
          <cell r="DJ80">
            <v>0</v>
          </cell>
          <cell r="DK80">
            <v>14198</v>
          </cell>
          <cell r="DL80">
            <v>10447.42</v>
          </cell>
          <cell r="DM80">
            <v>70073.495851086889</v>
          </cell>
          <cell r="DN80">
            <v>0</v>
          </cell>
          <cell r="DO80">
            <v>0</v>
          </cell>
          <cell r="DP80">
            <v>0</v>
          </cell>
          <cell r="DQ80">
            <v>94718.915851086887</v>
          </cell>
          <cell r="DR80">
            <v>0</v>
          </cell>
          <cell r="DS80">
            <v>0</v>
          </cell>
          <cell r="DT80">
            <v>0</v>
          </cell>
          <cell r="DU80">
            <v>0</v>
          </cell>
          <cell r="DV80">
            <v>0</v>
          </cell>
          <cell r="DW80">
            <v>0</v>
          </cell>
          <cell r="DX80">
            <v>0</v>
          </cell>
          <cell r="DY80">
            <v>5882.1109963218933</v>
          </cell>
          <cell r="DZ80">
            <v>0</v>
          </cell>
          <cell r="EA80">
            <v>0</v>
          </cell>
          <cell r="EB80">
            <v>5882.1109963218933</v>
          </cell>
          <cell r="EE80">
            <v>0</v>
          </cell>
          <cell r="EH80">
            <v>0</v>
          </cell>
          <cell r="EI80">
            <v>0</v>
          </cell>
          <cell r="EK80">
            <v>0</v>
          </cell>
          <cell r="EL80">
            <v>2377</v>
          </cell>
          <cell r="EM80">
            <v>0</v>
          </cell>
          <cell r="EO80">
            <v>2377</v>
          </cell>
          <cell r="EP80">
            <v>0</v>
          </cell>
          <cell r="EQ80">
            <v>0</v>
          </cell>
          <cell r="ER80">
            <v>1287662.3867569773</v>
          </cell>
          <cell r="ET80">
            <v>344</v>
          </cell>
          <cell r="EU80">
            <v>3743.2046126656319</v>
          </cell>
          <cell r="EV80" t="str">
            <v>No Variation Applied</v>
          </cell>
          <cell r="EW80">
            <v>84500</v>
          </cell>
          <cell r="EX80">
            <v>0</v>
          </cell>
          <cell r="EY80">
            <v>0</v>
          </cell>
          <cell r="EZ80">
            <v>187274.26951246319</v>
          </cell>
        </row>
        <row r="81">
          <cell r="C81" t="str">
            <v>Oakwood Infant and Nursery School</v>
          </cell>
          <cell r="D81">
            <v>2473</v>
          </cell>
          <cell r="F81" t="str">
            <v/>
          </cell>
          <cell r="G81">
            <v>0</v>
          </cell>
          <cell r="H81">
            <v>41640</v>
          </cell>
          <cell r="I81">
            <v>0</v>
          </cell>
          <cell r="J81">
            <v>0</v>
          </cell>
          <cell r="L81">
            <v>145591.39689381985</v>
          </cell>
          <cell r="M81">
            <v>41640</v>
          </cell>
          <cell r="N81">
            <v>43.831578947368421</v>
          </cell>
          <cell r="S81">
            <v>0</v>
          </cell>
          <cell r="T81">
            <v>0</v>
          </cell>
          <cell r="U81">
            <v>90</v>
          </cell>
          <cell r="Y81">
            <v>91</v>
          </cell>
          <cell r="Z81">
            <v>85</v>
          </cell>
          <cell r="AA81">
            <v>0</v>
          </cell>
          <cell r="AB81">
            <v>0</v>
          </cell>
          <cell r="AC81">
            <v>0</v>
          </cell>
          <cell r="AD81">
            <v>0</v>
          </cell>
          <cell r="AK81">
            <v>692868.15365326428</v>
          </cell>
          <cell r="AL81">
            <v>266</v>
          </cell>
          <cell r="BS81">
            <v>13810.188</v>
          </cell>
          <cell r="BT81">
            <v>0</v>
          </cell>
          <cell r="BU81">
            <v>0</v>
          </cell>
          <cell r="BV81">
            <v>0</v>
          </cell>
          <cell r="BW81">
            <v>0</v>
          </cell>
          <cell r="BX81">
            <v>-10364.731599999999</v>
          </cell>
          <cell r="BY81">
            <v>0</v>
          </cell>
          <cell r="BZ81">
            <v>7026.9486000000006</v>
          </cell>
          <cell r="CA81">
            <v>0</v>
          </cell>
          <cell r="CB81">
            <v>0</v>
          </cell>
          <cell r="CC81">
            <v>0</v>
          </cell>
          <cell r="CD81">
            <v>0</v>
          </cell>
          <cell r="CE81">
            <v>10472.405000000002</v>
          </cell>
          <cell r="CF81">
            <v>34020.916695056439</v>
          </cell>
          <cell r="CI81">
            <v>0</v>
          </cell>
          <cell r="CJ81">
            <v>0</v>
          </cell>
          <cell r="CK81">
            <v>5399</v>
          </cell>
          <cell r="CL81">
            <v>2552.8201127741063</v>
          </cell>
          <cell r="CM81">
            <v>41972.736807830544</v>
          </cell>
          <cell r="CQ81">
            <v>3046.9238377843717</v>
          </cell>
          <cell r="CR81">
            <v>1205.83</v>
          </cell>
          <cell r="CS81">
            <v>5658.3872842352512</v>
          </cell>
          <cell r="CT81">
            <v>9911.1411220196242</v>
          </cell>
          <cell r="CU81">
            <v>15892.138390818283</v>
          </cell>
          <cell r="CV81">
            <v>0</v>
          </cell>
          <cell r="CW81">
            <v>15892.138390818283</v>
          </cell>
          <cell r="CX81">
            <v>0</v>
          </cell>
          <cell r="CZ81">
            <v>0</v>
          </cell>
          <cell r="DC81">
            <v>0</v>
          </cell>
          <cell r="DD81">
            <v>110352.95438552485</v>
          </cell>
          <cell r="DE81">
            <v>103231.16980032065</v>
          </cell>
          <cell r="DF81">
            <v>9417.2916722787922</v>
          </cell>
          <cell r="DG81">
            <v>0</v>
          </cell>
          <cell r="DH81">
            <v>0</v>
          </cell>
          <cell r="DI81">
            <v>223001.41585812427</v>
          </cell>
          <cell r="DJ81">
            <v>0</v>
          </cell>
          <cell r="DK81">
            <v>14198</v>
          </cell>
          <cell r="DL81">
            <v>7738.49</v>
          </cell>
          <cell r="DM81">
            <v>70073.495851086889</v>
          </cell>
          <cell r="DN81">
            <v>0</v>
          </cell>
          <cell r="DO81">
            <v>0</v>
          </cell>
          <cell r="DP81">
            <v>0</v>
          </cell>
          <cell r="DQ81">
            <v>92009.98585108688</v>
          </cell>
          <cell r="DR81">
            <v>0</v>
          </cell>
          <cell r="DS81">
            <v>0</v>
          </cell>
          <cell r="DT81">
            <v>0</v>
          </cell>
          <cell r="DU81">
            <v>0</v>
          </cell>
          <cell r="DV81">
            <v>0</v>
          </cell>
          <cell r="DW81">
            <v>0</v>
          </cell>
          <cell r="DX81">
            <v>0</v>
          </cell>
          <cell r="DY81">
            <v>3594.6233866411571</v>
          </cell>
          <cell r="DZ81">
            <v>0</v>
          </cell>
          <cell r="EA81">
            <v>0</v>
          </cell>
          <cell r="EB81">
            <v>3594.6233866411571</v>
          </cell>
          <cell r="EE81">
            <v>0</v>
          </cell>
          <cell r="EH81">
            <v>0</v>
          </cell>
          <cell r="EI81">
            <v>0</v>
          </cell>
          <cell r="EK81">
            <v>0</v>
          </cell>
          <cell r="EL81">
            <v>22261</v>
          </cell>
          <cell r="EM81">
            <v>0</v>
          </cell>
          <cell r="EO81">
            <v>22261</v>
          </cell>
          <cell r="EP81">
            <v>0</v>
          </cell>
          <cell r="EQ81">
            <v>156063.80189381985</v>
          </cell>
          <cell r="ER81">
            <v>1257574.9969636048</v>
          </cell>
          <cell r="ET81">
            <v>309.83157894736843</v>
          </cell>
          <cell r="EU81">
            <v>4058.8987127655928</v>
          </cell>
          <cell r="EV81" t="str">
            <v>No Variation Applied</v>
          </cell>
          <cell r="EW81">
            <v>53300</v>
          </cell>
          <cell r="EX81">
            <v>0</v>
          </cell>
          <cell r="EY81">
            <v>0</v>
          </cell>
          <cell r="EZ81">
            <v>161693.79068846695</v>
          </cell>
        </row>
        <row r="82">
          <cell r="C82" t="str">
            <v>Redwood Primary School</v>
          </cell>
          <cell r="D82">
            <v>2505</v>
          </cell>
          <cell r="F82" t="str">
            <v/>
          </cell>
          <cell r="G82">
            <v>0</v>
          </cell>
          <cell r="H82">
            <v>52260</v>
          </cell>
          <cell r="I82">
            <v>0</v>
          </cell>
          <cell r="J82">
            <v>0</v>
          </cell>
          <cell r="L82">
            <v>182723.49667797852</v>
          </cell>
          <cell r="M82">
            <v>52260</v>
          </cell>
          <cell r="N82">
            <v>55.010526315789477</v>
          </cell>
          <cell r="S82">
            <v>0</v>
          </cell>
          <cell r="T82">
            <v>0</v>
          </cell>
          <cell r="U82">
            <v>75</v>
          </cell>
          <cell r="Y82">
            <v>66</v>
          </cell>
          <cell r="Z82">
            <v>61</v>
          </cell>
          <cell r="AA82">
            <v>54</v>
          </cell>
          <cell r="AB82">
            <v>50</v>
          </cell>
          <cell r="AC82">
            <v>49</v>
          </cell>
          <cell r="AD82">
            <v>51</v>
          </cell>
          <cell r="AK82">
            <v>1053338.1528699431</v>
          </cell>
          <cell r="AL82">
            <v>406</v>
          </cell>
          <cell r="BS82">
            <v>21817.776000000002</v>
          </cell>
          <cell r="BT82">
            <v>0</v>
          </cell>
          <cell r="BU82">
            <v>3829.7159999999999</v>
          </cell>
          <cell r="BV82">
            <v>0</v>
          </cell>
          <cell r="BW82">
            <v>0</v>
          </cell>
          <cell r="BX82">
            <v>12276.824399999983</v>
          </cell>
          <cell r="BY82">
            <v>0</v>
          </cell>
          <cell r="BZ82">
            <v>0</v>
          </cell>
          <cell r="CA82">
            <v>0</v>
          </cell>
          <cell r="CB82">
            <v>0</v>
          </cell>
          <cell r="CC82">
            <v>0</v>
          </cell>
          <cell r="CD82">
            <v>0</v>
          </cell>
          <cell r="CE82">
            <v>37924.316399999982</v>
          </cell>
          <cell r="CF82">
            <v>34020.916695056439</v>
          </cell>
          <cell r="CI82">
            <v>0</v>
          </cell>
          <cell r="CJ82">
            <v>0</v>
          </cell>
          <cell r="CK82">
            <v>8240.58</v>
          </cell>
          <cell r="CL82">
            <v>3008.7495526591583</v>
          </cell>
          <cell r="CM82">
            <v>45270.2462477156</v>
          </cell>
          <cell r="CQ82">
            <v>12949.42631058358</v>
          </cell>
          <cell r="CR82">
            <v>19896.169999999998</v>
          </cell>
          <cell r="CS82">
            <v>14145.968210588129</v>
          </cell>
          <cell r="CT82">
            <v>46991.564521171706</v>
          </cell>
          <cell r="CU82">
            <v>3003.2387510207782</v>
          </cell>
          <cell r="CV82">
            <v>0</v>
          </cell>
          <cell r="CW82">
            <v>3003.2387510207782</v>
          </cell>
          <cell r="CX82">
            <v>0</v>
          </cell>
          <cell r="CZ82">
            <v>0</v>
          </cell>
          <cell r="DC82">
            <v>0</v>
          </cell>
          <cell r="DD82">
            <v>163516.44503898162</v>
          </cell>
          <cell r="DE82">
            <v>202596.85526891123</v>
          </cell>
          <cell r="DF82">
            <v>10273.40909703141</v>
          </cell>
          <cell r="DG82">
            <v>0</v>
          </cell>
          <cell r="DH82">
            <v>0</v>
          </cell>
          <cell r="DI82">
            <v>376386.70940492424</v>
          </cell>
          <cell r="DJ82">
            <v>0</v>
          </cell>
          <cell r="DK82">
            <v>26793</v>
          </cell>
          <cell r="DL82">
            <v>6827.96</v>
          </cell>
          <cell r="DM82">
            <v>70073.495851086889</v>
          </cell>
          <cell r="DN82">
            <v>0</v>
          </cell>
          <cell r="DO82">
            <v>0</v>
          </cell>
          <cell r="DP82">
            <v>0</v>
          </cell>
          <cell r="DQ82">
            <v>103694.45585108688</v>
          </cell>
          <cell r="DR82">
            <v>0</v>
          </cell>
          <cell r="DS82">
            <v>0</v>
          </cell>
          <cell r="DT82">
            <v>0</v>
          </cell>
          <cell r="DU82">
            <v>0</v>
          </cell>
          <cell r="DV82">
            <v>0</v>
          </cell>
          <cell r="DW82">
            <v>0</v>
          </cell>
          <cell r="DX82">
            <v>0</v>
          </cell>
          <cell r="DY82">
            <v>8496.3825502427353</v>
          </cell>
          <cell r="DZ82">
            <v>0</v>
          </cell>
          <cell r="EA82">
            <v>0</v>
          </cell>
          <cell r="EB82">
            <v>8496.3825502427353</v>
          </cell>
          <cell r="EE82">
            <v>0</v>
          </cell>
          <cell r="EH82">
            <v>0</v>
          </cell>
          <cell r="EI82">
            <v>0</v>
          </cell>
          <cell r="EK82">
            <v>0</v>
          </cell>
          <cell r="EL82">
            <v>4317</v>
          </cell>
          <cell r="EM82">
            <v>0</v>
          </cell>
          <cell r="EO82">
            <v>4317</v>
          </cell>
          <cell r="EP82">
            <v>0</v>
          </cell>
          <cell r="EQ82">
            <v>220647.8130779785</v>
          </cell>
          <cell r="ER82">
            <v>1862145.5632740832</v>
          </cell>
          <cell r="ET82">
            <v>461.01052631578949</v>
          </cell>
          <cell r="EU82">
            <v>4039.2690773366949</v>
          </cell>
          <cell r="EV82" t="str">
            <v>No Variation Applied</v>
          </cell>
          <cell r="EW82">
            <v>89400</v>
          </cell>
          <cell r="EX82">
            <v>0</v>
          </cell>
          <cell r="EY82">
            <v>0</v>
          </cell>
          <cell r="EZ82">
            <v>238994.01575034249</v>
          </cell>
        </row>
        <row r="83">
          <cell r="C83" t="str">
            <v>Ash Croft Primary School</v>
          </cell>
          <cell r="D83">
            <v>2509</v>
          </cell>
          <cell r="F83" t="str">
            <v/>
          </cell>
          <cell r="G83">
            <v>0</v>
          </cell>
          <cell r="H83">
            <v>0</v>
          </cell>
          <cell r="I83">
            <v>0</v>
          </cell>
          <cell r="J83">
            <v>0</v>
          </cell>
          <cell r="L83">
            <v>0</v>
          </cell>
          <cell r="M83">
            <v>0</v>
          </cell>
          <cell r="N83">
            <v>0</v>
          </cell>
          <cell r="S83">
            <v>0</v>
          </cell>
          <cell r="T83">
            <v>0</v>
          </cell>
          <cell r="U83">
            <v>32</v>
          </cell>
          <cell r="Y83">
            <v>25</v>
          </cell>
          <cell r="Z83">
            <v>28</v>
          </cell>
          <cell r="AA83">
            <v>23</v>
          </cell>
          <cell r="AB83">
            <v>21</v>
          </cell>
          <cell r="AC83">
            <v>23</v>
          </cell>
          <cell r="AD83">
            <v>21</v>
          </cell>
          <cell r="AK83">
            <v>448983.08522443764</v>
          </cell>
          <cell r="AL83">
            <v>173</v>
          </cell>
          <cell r="BS83">
            <v>0</v>
          </cell>
          <cell r="BT83">
            <v>0</v>
          </cell>
          <cell r="BU83">
            <v>0</v>
          </cell>
          <cell r="BV83">
            <v>0</v>
          </cell>
          <cell r="BW83">
            <v>0</v>
          </cell>
          <cell r="BX83">
            <v>0</v>
          </cell>
          <cell r="BY83">
            <v>0</v>
          </cell>
          <cell r="BZ83">
            <v>0</v>
          </cell>
          <cell r="CA83">
            <v>0</v>
          </cell>
          <cell r="CB83">
            <v>0</v>
          </cell>
          <cell r="CC83">
            <v>0</v>
          </cell>
          <cell r="CD83">
            <v>0</v>
          </cell>
          <cell r="CE83">
            <v>0</v>
          </cell>
          <cell r="CF83">
            <v>22680.611130037629</v>
          </cell>
          <cell r="CI83">
            <v>0</v>
          </cell>
          <cell r="CJ83">
            <v>0</v>
          </cell>
          <cell r="CK83">
            <v>3511.38</v>
          </cell>
          <cell r="CL83">
            <v>1850.6503002929094</v>
          </cell>
          <cell r="CM83">
            <v>28042.641430330539</v>
          </cell>
          <cell r="CQ83">
            <v>5332.1167161226504</v>
          </cell>
          <cell r="CR83">
            <v>5627.2</v>
          </cell>
          <cell r="CS83">
            <v>6062.5578045377697</v>
          </cell>
          <cell r="CT83">
            <v>17021.874520660422</v>
          </cell>
          <cell r="CU83">
            <v>250.26989591839819</v>
          </cell>
          <cell r="CV83">
            <v>0</v>
          </cell>
          <cell r="CW83">
            <v>250.26989591839819</v>
          </cell>
          <cell r="CX83">
            <v>0</v>
          </cell>
          <cell r="CZ83">
            <v>0</v>
          </cell>
          <cell r="DC83">
            <v>0</v>
          </cell>
          <cell r="DD83">
            <v>45303.257499977597</v>
          </cell>
          <cell r="DE83">
            <v>51160.822037603844</v>
          </cell>
          <cell r="DF83">
            <v>1712.2348495052349</v>
          </cell>
          <cell r="DG83">
            <v>0</v>
          </cell>
          <cell r="DH83">
            <v>0</v>
          </cell>
          <cell r="DI83">
            <v>98176.314387086677</v>
          </cell>
          <cell r="DJ83">
            <v>0</v>
          </cell>
          <cell r="DK83">
            <v>12480.5</v>
          </cell>
          <cell r="DL83">
            <v>3445.93</v>
          </cell>
          <cell r="DM83">
            <v>74722.185859261808</v>
          </cell>
          <cell r="DN83">
            <v>0</v>
          </cell>
          <cell r="DO83">
            <v>0</v>
          </cell>
          <cell r="DP83">
            <v>0</v>
          </cell>
          <cell r="DQ83">
            <v>90648.615859261801</v>
          </cell>
          <cell r="DR83">
            <v>0</v>
          </cell>
          <cell r="DS83">
            <v>0</v>
          </cell>
          <cell r="DT83">
            <v>0</v>
          </cell>
          <cell r="DU83">
            <v>0</v>
          </cell>
          <cell r="DV83">
            <v>0</v>
          </cell>
          <cell r="DW83">
            <v>0</v>
          </cell>
          <cell r="DX83">
            <v>0</v>
          </cell>
          <cell r="DY83">
            <v>6208.8949405619987</v>
          </cell>
          <cell r="DZ83">
            <v>0</v>
          </cell>
          <cell r="EA83">
            <v>0</v>
          </cell>
          <cell r="EB83">
            <v>6208.8949405619987</v>
          </cell>
          <cell r="EE83">
            <v>0</v>
          </cell>
          <cell r="EH83">
            <v>0</v>
          </cell>
          <cell r="EI83">
            <v>6580.8010000000004</v>
          </cell>
          <cell r="EK83">
            <v>0</v>
          </cell>
          <cell r="EL83">
            <v>-3204</v>
          </cell>
          <cell r="EM83">
            <v>0</v>
          </cell>
          <cell r="EO83">
            <v>3376.8010000000004</v>
          </cell>
          <cell r="EP83">
            <v>12020.538005692186</v>
          </cell>
          <cell r="EQ83">
            <v>0</v>
          </cell>
          <cell r="ER83">
            <v>704729.03526394966</v>
          </cell>
          <cell r="ET83">
            <v>173</v>
          </cell>
          <cell r="EU83">
            <v>4073.57823851994</v>
          </cell>
          <cell r="EV83" t="str">
            <v>No Variation Applied</v>
          </cell>
          <cell r="EW83">
            <v>27000</v>
          </cell>
          <cell r="EX83">
            <v>0</v>
          </cell>
          <cell r="EY83">
            <v>0</v>
          </cell>
          <cell r="EZ83">
            <v>71690.270563242171</v>
          </cell>
        </row>
        <row r="84">
          <cell r="C84" t="str">
            <v>Brookfield Primary School</v>
          </cell>
          <cell r="D84">
            <v>2512</v>
          </cell>
          <cell r="F84" t="str">
            <v/>
          </cell>
          <cell r="G84">
            <v>0</v>
          </cell>
          <cell r="H84">
            <v>14880</v>
          </cell>
          <cell r="I84">
            <v>0</v>
          </cell>
          <cell r="J84">
            <v>0</v>
          </cell>
          <cell r="L84">
            <v>52026.896872719488</v>
          </cell>
          <cell r="M84">
            <v>14880</v>
          </cell>
          <cell r="N84">
            <v>15.663157894736843</v>
          </cell>
          <cell r="S84">
            <v>0</v>
          </cell>
          <cell r="T84">
            <v>0</v>
          </cell>
          <cell r="U84">
            <v>30</v>
          </cell>
          <cell r="Y84">
            <v>29</v>
          </cell>
          <cell r="Z84">
            <v>30</v>
          </cell>
          <cell r="AA84">
            <v>30</v>
          </cell>
          <cell r="AB84">
            <v>28</v>
          </cell>
          <cell r="AC84">
            <v>28</v>
          </cell>
          <cell r="AD84">
            <v>31</v>
          </cell>
          <cell r="AK84">
            <v>532381.29378746846</v>
          </cell>
          <cell r="AL84">
            <v>206</v>
          </cell>
          <cell r="BS84">
            <v>812.36400000000003</v>
          </cell>
          <cell r="BT84">
            <v>0</v>
          </cell>
          <cell r="BU84">
            <v>464.20800000000003</v>
          </cell>
          <cell r="BV84">
            <v>0</v>
          </cell>
          <cell r="BW84">
            <v>0</v>
          </cell>
          <cell r="BX84">
            <v>-1223.1618000000017</v>
          </cell>
          <cell r="BY84">
            <v>0</v>
          </cell>
          <cell r="BZ84">
            <v>1003.8498</v>
          </cell>
          <cell r="CA84">
            <v>0</v>
          </cell>
          <cell r="CB84">
            <v>0</v>
          </cell>
          <cell r="CC84">
            <v>0</v>
          </cell>
          <cell r="CD84">
            <v>0</v>
          </cell>
          <cell r="CE84">
            <v>1057.2599999999984</v>
          </cell>
          <cell r="CF84">
            <v>11340.305565018814</v>
          </cell>
          <cell r="CI84">
            <v>0</v>
          </cell>
          <cell r="CJ84">
            <v>0</v>
          </cell>
          <cell r="CK84">
            <v>4181.18</v>
          </cell>
          <cell r="CL84">
            <v>2316.1985047324979</v>
          </cell>
          <cell r="CM84">
            <v>17837.684069751311</v>
          </cell>
          <cell r="CQ84">
            <v>761.73095944609292</v>
          </cell>
          <cell r="CR84">
            <v>8038.86</v>
          </cell>
          <cell r="CS84">
            <v>5254.2167639327336</v>
          </cell>
          <cell r="CT84">
            <v>14054.807723378824</v>
          </cell>
          <cell r="CU84">
            <v>3003.2387510207782</v>
          </cell>
          <cell r="CV84">
            <v>9009.7162530623336</v>
          </cell>
          <cell r="CW84">
            <v>12012.955004083113</v>
          </cell>
          <cell r="CX84">
            <v>0</v>
          </cell>
          <cell r="CZ84">
            <v>0</v>
          </cell>
          <cell r="DC84">
            <v>0</v>
          </cell>
          <cell r="DD84">
            <v>27134.763606757413</v>
          </cell>
          <cell r="DE84">
            <v>5457.1543506777434</v>
          </cell>
          <cell r="DF84">
            <v>856.11742475261747</v>
          </cell>
          <cell r="DG84">
            <v>0</v>
          </cell>
          <cell r="DH84">
            <v>0</v>
          </cell>
          <cell r="DI84">
            <v>33448.035382187772</v>
          </cell>
          <cell r="DJ84">
            <v>0</v>
          </cell>
          <cell r="DK84">
            <v>14427</v>
          </cell>
          <cell r="DL84">
            <v>4084.7</v>
          </cell>
          <cell r="DM84">
            <v>70073.495851086889</v>
          </cell>
          <cell r="DN84">
            <v>0</v>
          </cell>
          <cell r="DO84">
            <v>0</v>
          </cell>
          <cell r="DP84">
            <v>0</v>
          </cell>
          <cell r="DQ84">
            <v>88585.195851086886</v>
          </cell>
          <cell r="DR84">
            <v>0</v>
          </cell>
          <cell r="DS84">
            <v>0</v>
          </cell>
          <cell r="DT84">
            <v>0</v>
          </cell>
          <cell r="DU84">
            <v>0</v>
          </cell>
          <cell r="DV84">
            <v>0</v>
          </cell>
          <cell r="DW84">
            <v>0</v>
          </cell>
          <cell r="DX84">
            <v>0</v>
          </cell>
          <cell r="DY84">
            <v>2941.0554981609466</v>
          </cell>
          <cell r="DZ84">
            <v>0</v>
          </cell>
          <cell r="EA84">
            <v>0</v>
          </cell>
          <cell r="EB84">
            <v>2941.0554981609466</v>
          </cell>
          <cell r="EE84">
            <v>0</v>
          </cell>
          <cell r="EH84">
            <v>0</v>
          </cell>
          <cell r="EI84">
            <v>0</v>
          </cell>
          <cell r="EK84">
            <v>0</v>
          </cell>
          <cell r="EL84">
            <v>15270</v>
          </cell>
          <cell r="EM84">
            <v>0</v>
          </cell>
          <cell r="EO84">
            <v>15270</v>
          </cell>
          <cell r="EP84">
            <v>30282.73187580856</v>
          </cell>
          <cell r="EQ84">
            <v>53084.156872719483</v>
          </cell>
          <cell r="ER84">
            <v>799897.91606464551</v>
          </cell>
          <cell r="ET84">
            <v>221.66315789473686</v>
          </cell>
          <cell r="EU84">
            <v>3608.6191483588814</v>
          </cell>
          <cell r="EV84" t="str">
            <v>No Variation Applied</v>
          </cell>
          <cell r="EW84">
            <v>18000</v>
          </cell>
          <cell r="EX84">
            <v>0</v>
          </cell>
          <cell r="EY84">
            <v>0</v>
          </cell>
          <cell r="EZ84">
            <v>61853.986028449857</v>
          </cell>
        </row>
        <row r="85">
          <cell r="C85" t="str">
            <v>Grampian Primary School</v>
          </cell>
          <cell r="D85">
            <v>2515</v>
          </cell>
          <cell r="F85" t="str">
            <v/>
          </cell>
          <cell r="G85">
            <v>0</v>
          </cell>
          <cell r="H85">
            <v>22590</v>
          </cell>
          <cell r="I85">
            <v>0</v>
          </cell>
          <cell r="J85">
            <v>0</v>
          </cell>
          <cell r="L85">
            <v>78984.381744269704</v>
          </cell>
          <cell r="M85">
            <v>22590</v>
          </cell>
          <cell r="N85">
            <v>23.778947368421054</v>
          </cell>
          <cell r="S85">
            <v>0</v>
          </cell>
          <cell r="T85">
            <v>0</v>
          </cell>
          <cell r="U85">
            <v>30</v>
          </cell>
          <cell r="Y85">
            <v>30</v>
          </cell>
          <cell r="Z85">
            <v>30</v>
          </cell>
          <cell r="AA85">
            <v>26</v>
          </cell>
          <cell r="AB85">
            <v>23</v>
          </cell>
          <cell r="AC85">
            <v>18</v>
          </cell>
          <cell r="AD85">
            <v>29</v>
          </cell>
          <cell r="AK85">
            <v>480876.25758002256</v>
          </cell>
          <cell r="AL85">
            <v>186</v>
          </cell>
          <cell r="BS85">
            <v>11257.044</v>
          </cell>
          <cell r="BT85">
            <v>0</v>
          </cell>
          <cell r="BU85">
            <v>851.048</v>
          </cell>
          <cell r="BV85">
            <v>0</v>
          </cell>
          <cell r="BW85">
            <v>0</v>
          </cell>
          <cell r="BX85">
            <v>-7584.9822539198067</v>
          </cell>
          <cell r="BY85">
            <v>0</v>
          </cell>
          <cell r="BZ85">
            <v>1003.8498</v>
          </cell>
          <cell r="CA85">
            <v>0</v>
          </cell>
          <cell r="CB85">
            <v>0</v>
          </cell>
          <cell r="CC85">
            <v>0</v>
          </cell>
          <cell r="CD85">
            <v>0</v>
          </cell>
          <cell r="CE85">
            <v>5526.9595460801938</v>
          </cell>
          <cell r="CF85">
            <v>11340.305565018814</v>
          </cell>
          <cell r="CI85">
            <v>0</v>
          </cell>
          <cell r="CJ85">
            <v>0</v>
          </cell>
          <cell r="CK85">
            <v>3775.24</v>
          </cell>
          <cell r="CL85">
            <v>1623.6474568058372</v>
          </cell>
          <cell r="CM85">
            <v>16739.193021824653</v>
          </cell>
          <cell r="CQ85">
            <v>9140.7715133531146</v>
          </cell>
          <cell r="CR85">
            <v>8842.74</v>
          </cell>
          <cell r="CS85">
            <v>6062.5578045377697</v>
          </cell>
          <cell r="CT85">
            <v>24046.069317890884</v>
          </cell>
          <cell r="CU85">
            <v>28906.172978574989</v>
          </cell>
          <cell r="CV85">
            <v>0</v>
          </cell>
          <cell r="CW85">
            <v>28906.172978574989</v>
          </cell>
          <cell r="CX85">
            <v>0</v>
          </cell>
          <cell r="CZ85">
            <v>0</v>
          </cell>
          <cell r="DC85">
            <v>0</v>
          </cell>
          <cell r="DD85">
            <v>117918.24445632189</v>
          </cell>
          <cell r="DE85">
            <v>113235.95277656318</v>
          </cell>
          <cell r="DF85">
            <v>5136.704548515705</v>
          </cell>
          <cell r="DG85">
            <v>0</v>
          </cell>
          <cell r="DH85">
            <v>0</v>
          </cell>
          <cell r="DI85">
            <v>236290.90178140075</v>
          </cell>
          <cell r="DJ85">
            <v>0</v>
          </cell>
          <cell r="DK85">
            <v>16488</v>
          </cell>
          <cell r="DL85">
            <v>3012.63</v>
          </cell>
          <cell r="DM85">
            <v>70073.495851086889</v>
          </cell>
          <cell r="DN85">
            <v>0</v>
          </cell>
          <cell r="DO85">
            <v>0</v>
          </cell>
          <cell r="DP85">
            <v>0</v>
          </cell>
          <cell r="DQ85">
            <v>89574.125851086894</v>
          </cell>
          <cell r="DR85">
            <v>0</v>
          </cell>
          <cell r="DS85">
            <v>0</v>
          </cell>
          <cell r="DT85">
            <v>0</v>
          </cell>
          <cell r="DU85">
            <v>0</v>
          </cell>
          <cell r="DV85">
            <v>0</v>
          </cell>
          <cell r="DW85">
            <v>0</v>
          </cell>
          <cell r="DX85">
            <v>0</v>
          </cell>
          <cell r="DY85">
            <v>4574.9752193614731</v>
          </cell>
          <cell r="DZ85">
            <v>0</v>
          </cell>
          <cell r="EA85">
            <v>0</v>
          </cell>
          <cell r="EB85">
            <v>4574.9752193614731</v>
          </cell>
          <cell r="EE85">
            <v>0</v>
          </cell>
          <cell r="EH85">
            <v>0</v>
          </cell>
          <cell r="EI85">
            <v>0</v>
          </cell>
          <cell r="EK85">
            <v>0</v>
          </cell>
          <cell r="EL85">
            <v>18709</v>
          </cell>
          <cell r="EM85">
            <v>0</v>
          </cell>
          <cell r="EO85">
            <v>18709</v>
          </cell>
          <cell r="EP85">
            <v>78179.805381990387</v>
          </cell>
          <cell r="EQ85">
            <v>84511.341290349897</v>
          </cell>
          <cell r="ER85">
            <v>1062407.8424225026</v>
          </cell>
          <cell r="ET85">
            <v>209.77894736842106</v>
          </cell>
          <cell r="EU85">
            <v>5064.4159280514696</v>
          </cell>
          <cell r="EV85" t="str">
            <v>No Variation Applied</v>
          </cell>
          <cell r="EW85">
            <v>63600</v>
          </cell>
          <cell r="EX85">
            <v>0</v>
          </cell>
          <cell r="EY85">
            <v>0</v>
          </cell>
          <cell r="EZ85">
            <v>184176.07402465359</v>
          </cell>
        </row>
        <row r="86">
          <cell r="C86" t="str">
            <v>Firs Estate Primary School</v>
          </cell>
          <cell r="D86">
            <v>2518</v>
          </cell>
          <cell r="F86" t="str">
            <v/>
          </cell>
          <cell r="G86">
            <v>0</v>
          </cell>
          <cell r="H86">
            <v>16560</v>
          </cell>
          <cell r="I86">
            <v>0</v>
          </cell>
          <cell r="J86">
            <v>0</v>
          </cell>
          <cell r="L86">
            <v>57900.901358349103</v>
          </cell>
          <cell r="M86">
            <v>16560</v>
          </cell>
          <cell r="N86">
            <v>17.431578947368422</v>
          </cell>
          <cell r="S86">
            <v>0</v>
          </cell>
          <cell r="T86">
            <v>0</v>
          </cell>
          <cell r="U86">
            <v>54</v>
          </cell>
          <cell r="Y86">
            <v>42</v>
          </cell>
          <cell r="Z86">
            <v>44</v>
          </cell>
          <cell r="AA86">
            <v>34</v>
          </cell>
          <cell r="AB86">
            <v>35</v>
          </cell>
          <cell r="AC86">
            <v>21</v>
          </cell>
          <cell r="AD86">
            <v>35</v>
          </cell>
          <cell r="AK86">
            <v>688857.32514151535</v>
          </cell>
          <cell r="AL86">
            <v>265</v>
          </cell>
          <cell r="BS86">
            <v>6266.808</v>
          </cell>
          <cell r="BT86">
            <v>0</v>
          </cell>
          <cell r="BU86">
            <v>1276.5720000000001</v>
          </cell>
          <cell r="BV86">
            <v>0</v>
          </cell>
          <cell r="BW86">
            <v>0</v>
          </cell>
          <cell r="BX86">
            <v>6861.7660000000033</v>
          </cell>
          <cell r="BY86">
            <v>0</v>
          </cell>
          <cell r="BZ86">
            <v>2007.6995999999999</v>
          </cell>
          <cell r="CA86">
            <v>0</v>
          </cell>
          <cell r="CB86">
            <v>0</v>
          </cell>
          <cell r="CC86">
            <v>0</v>
          </cell>
          <cell r="CD86">
            <v>0</v>
          </cell>
          <cell r="CE86">
            <v>16412.845600000004</v>
          </cell>
          <cell r="CF86">
            <v>22680.611130037629</v>
          </cell>
          <cell r="CI86">
            <v>0</v>
          </cell>
          <cell r="CJ86">
            <v>0</v>
          </cell>
          <cell r="CK86">
            <v>5378.7</v>
          </cell>
          <cell r="CL86">
            <v>2185.3833067907949</v>
          </cell>
          <cell r="CM86">
            <v>30244.694436828424</v>
          </cell>
          <cell r="CQ86">
            <v>28945.776458951532</v>
          </cell>
          <cell r="CR86">
            <v>22307.83</v>
          </cell>
          <cell r="CS86">
            <v>12731.371389529315</v>
          </cell>
          <cell r="CT86">
            <v>63984.977848480848</v>
          </cell>
          <cell r="CU86">
            <v>4254.5882306127687</v>
          </cell>
          <cell r="CV86">
            <v>0</v>
          </cell>
          <cell r="CW86">
            <v>4254.5882306127687</v>
          </cell>
          <cell r="CX86">
            <v>0</v>
          </cell>
          <cell r="CZ86">
            <v>0</v>
          </cell>
          <cell r="DC86">
            <v>0</v>
          </cell>
          <cell r="DD86">
            <v>149403.41853264096</v>
          </cell>
          <cell r="DE86">
            <v>117783.58140212797</v>
          </cell>
          <cell r="DF86">
            <v>15410.113645547115</v>
          </cell>
          <cell r="DG86">
            <v>0</v>
          </cell>
          <cell r="DH86">
            <v>0</v>
          </cell>
          <cell r="DI86">
            <v>282597.11358031607</v>
          </cell>
          <cell r="DJ86">
            <v>0</v>
          </cell>
          <cell r="DK86">
            <v>10589.33</v>
          </cell>
          <cell r="DL86">
            <v>6853.44</v>
          </cell>
          <cell r="DM86">
            <v>70073.495851086889</v>
          </cell>
          <cell r="DN86">
            <v>0</v>
          </cell>
          <cell r="DO86">
            <v>0</v>
          </cell>
          <cell r="DP86">
            <v>0</v>
          </cell>
          <cell r="DQ86">
            <v>87516.265851086893</v>
          </cell>
          <cell r="DR86">
            <v>0</v>
          </cell>
          <cell r="DS86">
            <v>0</v>
          </cell>
          <cell r="DT86">
            <v>0</v>
          </cell>
          <cell r="DU86">
            <v>0</v>
          </cell>
          <cell r="DV86">
            <v>0</v>
          </cell>
          <cell r="DW86">
            <v>0</v>
          </cell>
          <cell r="DX86">
            <v>0</v>
          </cell>
          <cell r="DY86">
            <v>13724.925658084418</v>
          </cell>
          <cell r="DZ86">
            <v>0</v>
          </cell>
          <cell r="EA86">
            <v>0</v>
          </cell>
          <cell r="EB86">
            <v>13724.925658084418</v>
          </cell>
          <cell r="EE86">
            <v>0</v>
          </cell>
          <cell r="EH86">
            <v>0</v>
          </cell>
          <cell r="EI86">
            <v>0</v>
          </cell>
          <cell r="EK86">
            <v>0</v>
          </cell>
          <cell r="EL86">
            <v>3879</v>
          </cell>
          <cell r="EM86">
            <v>0</v>
          </cell>
          <cell r="EO86">
            <v>3879</v>
          </cell>
          <cell r="EP86">
            <v>14802.588125592563</v>
          </cell>
          <cell r="EQ86">
            <v>74313.746958349104</v>
          </cell>
          <cell r="ER86">
            <v>1264175.2258308665</v>
          </cell>
          <cell r="ET86">
            <v>282.43157894736839</v>
          </cell>
          <cell r="EU86">
            <v>4476.0406415687949</v>
          </cell>
          <cell r="EV86" t="str">
            <v>No Variation Applied</v>
          </cell>
          <cell r="EW86">
            <v>72600</v>
          </cell>
          <cell r="EX86">
            <v>0</v>
          </cell>
          <cell r="EY86">
            <v>0</v>
          </cell>
          <cell r="EZ86">
            <v>248446.06062992013</v>
          </cell>
        </row>
        <row r="87">
          <cell r="C87" t="str">
            <v>Lawn Primary School</v>
          </cell>
          <cell r="D87">
            <v>2522</v>
          </cell>
          <cell r="F87" t="str">
            <v/>
          </cell>
          <cell r="G87">
            <v>0</v>
          </cell>
          <cell r="H87">
            <v>0</v>
          </cell>
          <cell r="I87">
            <v>0</v>
          </cell>
          <cell r="J87">
            <v>0</v>
          </cell>
          <cell r="L87">
            <v>0</v>
          </cell>
          <cell r="M87">
            <v>0</v>
          </cell>
          <cell r="N87">
            <v>0</v>
          </cell>
          <cell r="S87">
            <v>0</v>
          </cell>
          <cell r="T87">
            <v>0</v>
          </cell>
          <cell r="U87">
            <v>58</v>
          </cell>
          <cell r="Y87">
            <v>58</v>
          </cell>
          <cell r="Z87">
            <v>52</v>
          </cell>
          <cell r="AA87">
            <v>60</v>
          </cell>
          <cell r="AB87">
            <v>61</v>
          </cell>
          <cell r="AC87">
            <v>54</v>
          </cell>
          <cell r="AD87">
            <v>62</v>
          </cell>
          <cell r="AK87">
            <v>1047054.3018236394</v>
          </cell>
          <cell r="AL87">
            <v>405</v>
          </cell>
          <cell r="BS87">
            <v>0</v>
          </cell>
          <cell r="BT87">
            <v>0</v>
          </cell>
          <cell r="BU87">
            <v>0</v>
          </cell>
          <cell r="BV87">
            <v>0</v>
          </cell>
          <cell r="BW87">
            <v>0</v>
          </cell>
          <cell r="BX87">
            <v>0</v>
          </cell>
          <cell r="BY87">
            <v>0</v>
          </cell>
          <cell r="BZ87">
            <v>0</v>
          </cell>
          <cell r="CA87">
            <v>0</v>
          </cell>
          <cell r="CB87">
            <v>0</v>
          </cell>
          <cell r="CC87">
            <v>0</v>
          </cell>
          <cell r="CD87">
            <v>0</v>
          </cell>
          <cell r="CE87">
            <v>0</v>
          </cell>
          <cell r="CF87">
            <v>22680.611130037629</v>
          </cell>
          <cell r="CI87">
            <v>0</v>
          </cell>
          <cell r="CJ87">
            <v>0</v>
          </cell>
          <cell r="CK87">
            <v>8220.2800000000007</v>
          </cell>
          <cell r="CL87">
            <v>0</v>
          </cell>
          <cell r="CM87">
            <v>30900.891130037628</v>
          </cell>
          <cell r="CQ87">
            <v>1523.4619188921858</v>
          </cell>
          <cell r="CR87">
            <v>3215.54</v>
          </cell>
          <cell r="CS87">
            <v>4445.8757233276974</v>
          </cell>
          <cell r="CT87">
            <v>9184.8776422198825</v>
          </cell>
          <cell r="CU87">
            <v>0</v>
          </cell>
          <cell r="CV87">
            <v>0</v>
          </cell>
          <cell r="CW87">
            <v>0</v>
          </cell>
          <cell r="CX87">
            <v>0</v>
          </cell>
          <cell r="CZ87">
            <v>0</v>
          </cell>
          <cell r="DC87">
            <v>0</v>
          </cell>
          <cell r="DD87">
            <v>22577.892979318261</v>
          </cell>
          <cell r="DE87">
            <v>18645.277364815625</v>
          </cell>
          <cell r="DF87">
            <v>2568.3522742578525</v>
          </cell>
          <cell r="DG87">
            <v>0</v>
          </cell>
          <cell r="DH87">
            <v>0</v>
          </cell>
          <cell r="DI87">
            <v>43791.52261839174</v>
          </cell>
          <cell r="DJ87">
            <v>0</v>
          </cell>
          <cell r="DK87">
            <v>16488</v>
          </cell>
          <cell r="DL87">
            <v>6802.68</v>
          </cell>
          <cell r="DM87">
            <v>70073.495851086889</v>
          </cell>
          <cell r="DN87">
            <v>0</v>
          </cell>
          <cell r="DO87">
            <v>0</v>
          </cell>
          <cell r="DP87">
            <v>0</v>
          </cell>
          <cell r="DQ87">
            <v>93364.175851086882</v>
          </cell>
          <cell r="DR87">
            <v>0</v>
          </cell>
          <cell r="DS87">
            <v>0</v>
          </cell>
          <cell r="DT87">
            <v>0</v>
          </cell>
          <cell r="DU87">
            <v>0</v>
          </cell>
          <cell r="DV87">
            <v>0</v>
          </cell>
          <cell r="DW87">
            <v>0</v>
          </cell>
          <cell r="DX87">
            <v>0</v>
          </cell>
          <cell r="DY87">
            <v>5228.5431078416832</v>
          </cell>
          <cell r="DZ87">
            <v>0</v>
          </cell>
          <cell r="EA87">
            <v>0</v>
          </cell>
          <cell r="EB87">
            <v>5228.5431078416832</v>
          </cell>
          <cell r="EE87">
            <v>0</v>
          </cell>
          <cell r="EH87">
            <v>0</v>
          </cell>
          <cell r="EI87">
            <v>0</v>
          </cell>
          <cell r="EK87">
            <v>0</v>
          </cell>
          <cell r="EL87">
            <v>0</v>
          </cell>
          <cell r="EM87">
            <v>0</v>
          </cell>
          <cell r="EO87">
            <v>0</v>
          </cell>
          <cell r="EP87">
            <v>0</v>
          </cell>
          <cell r="EQ87">
            <v>0</v>
          </cell>
          <cell r="ER87">
            <v>1229524.3121732173</v>
          </cell>
          <cell r="ET87">
            <v>405</v>
          </cell>
          <cell r="EU87">
            <v>3035.8624991931292</v>
          </cell>
          <cell r="EV87" t="str">
            <v>No Variation Applied</v>
          </cell>
          <cell r="EW87">
            <v>17900</v>
          </cell>
          <cell r="EX87">
            <v>0</v>
          </cell>
          <cell r="EY87">
            <v>0</v>
          </cell>
          <cell r="EZ87">
            <v>52101.07437145619</v>
          </cell>
        </row>
        <row r="88">
          <cell r="C88" t="str">
            <v>Derwent Community School</v>
          </cell>
          <cell r="D88">
            <v>2619</v>
          </cell>
          <cell r="F88" t="str">
            <v/>
          </cell>
          <cell r="G88">
            <v>0</v>
          </cell>
          <cell r="H88">
            <v>20520</v>
          </cell>
          <cell r="I88">
            <v>0</v>
          </cell>
          <cell r="J88">
            <v>0</v>
          </cell>
          <cell r="L88">
            <v>71746.769074476062</v>
          </cell>
          <cell r="M88">
            <v>20520</v>
          </cell>
          <cell r="N88">
            <v>21.6</v>
          </cell>
          <cell r="S88">
            <v>0</v>
          </cell>
          <cell r="T88">
            <v>0</v>
          </cell>
          <cell r="U88">
            <v>30</v>
          </cell>
          <cell r="Y88">
            <v>25</v>
          </cell>
          <cell r="Z88">
            <v>27</v>
          </cell>
          <cell r="AA88">
            <v>28</v>
          </cell>
          <cell r="AB88">
            <v>27</v>
          </cell>
          <cell r="AC88">
            <v>22</v>
          </cell>
          <cell r="AD88">
            <v>22</v>
          </cell>
          <cell r="AK88">
            <v>468981.53098626423</v>
          </cell>
          <cell r="AL88">
            <v>181</v>
          </cell>
          <cell r="BS88">
            <v>9516.2639999999992</v>
          </cell>
          <cell r="BT88">
            <v>0</v>
          </cell>
          <cell r="BU88">
            <v>116.05200000000001</v>
          </cell>
          <cell r="BV88">
            <v>0</v>
          </cell>
          <cell r="BW88">
            <v>0</v>
          </cell>
          <cell r="BX88">
            <v>-3039.4257999999973</v>
          </cell>
          <cell r="BY88">
            <v>0</v>
          </cell>
          <cell r="BZ88">
            <v>3011.5493999999999</v>
          </cell>
          <cell r="CA88">
            <v>0</v>
          </cell>
          <cell r="CB88">
            <v>0</v>
          </cell>
          <cell r="CC88">
            <v>0</v>
          </cell>
          <cell r="CD88">
            <v>0</v>
          </cell>
          <cell r="CE88">
            <v>9604.4396000000015</v>
          </cell>
          <cell r="CF88">
            <v>11340.305565018814</v>
          </cell>
          <cell r="CI88">
            <v>0</v>
          </cell>
          <cell r="CJ88">
            <v>0</v>
          </cell>
          <cell r="CK88">
            <v>3673.76</v>
          </cell>
          <cell r="CL88">
            <v>1027.2840544245462</v>
          </cell>
          <cell r="CM88">
            <v>16041.349619443361</v>
          </cell>
          <cell r="CQ88">
            <v>6093.8476755687434</v>
          </cell>
          <cell r="CR88">
            <v>3818.46</v>
          </cell>
          <cell r="CS88">
            <v>1212.5115609075538</v>
          </cell>
          <cell r="CT88">
            <v>11124.819236476298</v>
          </cell>
          <cell r="CU88">
            <v>2502.698959183982</v>
          </cell>
          <cell r="CV88">
            <v>0</v>
          </cell>
          <cell r="CW88">
            <v>2502.698959183982</v>
          </cell>
          <cell r="CX88">
            <v>0</v>
          </cell>
          <cell r="CZ88">
            <v>0</v>
          </cell>
          <cell r="DC88">
            <v>0</v>
          </cell>
          <cell r="DD88">
            <v>146881.65517570861</v>
          </cell>
          <cell r="DE88">
            <v>105277.60268182481</v>
          </cell>
          <cell r="DF88">
            <v>7705.0568227735575</v>
          </cell>
          <cell r="DG88">
            <v>0</v>
          </cell>
          <cell r="DH88">
            <v>0</v>
          </cell>
          <cell r="DI88">
            <v>259864.31468030697</v>
          </cell>
          <cell r="DJ88">
            <v>0</v>
          </cell>
          <cell r="DK88">
            <v>26106</v>
          </cell>
          <cell r="DL88">
            <v>4324.1400000000003</v>
          </cell>
          <cell r="DM88">
            <v>70073.495851086889</v>
          </cell>
          <cell r="DN88">
            <v>0</v>
          </cell>
          <cell r="DO88">
            <v>0</v>
          </cell>
          <cell r="DP88">
            <v>0</v>
          </cell>
          <cell r="DQ88">
            <v>100503.63585108689</v>
          </cell>
          <cell r="DR88">
            <v>0</v>
          </cell>
          <cell r="DS88">
            <v>0</v>
          </cell>
          <cell r="DT88">
            <v>0</v>
          </cell>
          <cell r="DU88">
            <v>0</v>
          </cell>
          <cell r="DV88">
            <v>0</v>
          </cell>
          <cell r="DW88">
            <v>0</v>
          </cell>
          <cell r="DX88">
            <v>0</v>
          </cell>
          <cell r="DY88">
            <v>6208.8949405619987</v>
          </cell>
          <cell r="DZ88">
            <v>0</v>
          </cell>
          <cell r="EA88">
            <v>0</v>
          </cell>
          <cell r="EB88">
            <v>6208.8949405619987</v>
          </cell>
          <cell r="EE88">
            <v>0</v>
          </cell>
          <cell r="EH88">
            <v>0</v>
          </cell>
          <cell r="EI88">
            <v>10885.09204</v>
          </cell>
          <cell r="EK88">
            <v>0</v>
          </cell>
          <cell r="EL88">
            <v>5256</v>
          </cell>
          <cell r="EM88">
            <v>0</v>
          </cell>
          <cell r="EO88">
            <v>16141.09204</v>
          </cell>
          <cell r="EP88">
            <v>0</v>
          </cell>
          <cell r="EQ88">
            <v>81351.20867447606</v>
          </cell>
          <cell r="ER88">
            <v>962719.54498779995</v>
          </cell>
          <cell r="ET88">
            <v>202.6</v>
          </cell>
          <cell r="EU88">
            <v>4751.8240127729514</v>
          </cell>
          <cell r="EV88" t="str">
            <v>No Variation Applied</v>
          </cell>
          <cell r="EW88">
            <v>75250</v>
          </cell>
          <cell r="EX88">
            <v>0</v>
          </cell>
          <cell r="EY88">
            <v>0</v>
          </cell>
          <cell r="EZ88">
            <v>183930.0629256425</v>
          </cell>
        </row>
        <row r="89">
          <cell r="C89" t="str">
            <v>Mickleover Primary School</v>
          </cell>
          <cell r="D89">
            <v>2627</v>
          </cell>
          <cell r="F89" t="str">
            <v/>
          </cell>
          <cell r="G89">
            <v>0</v>
          </cell>
          <cell r="H89">
            <v>0</v>
          </cell>
          <cell r="I89">
            <v>0</v>
          </cell>
          <cell r="J89">
            <v>0</v>
          </cell>
          <cell r="L89">
            <v>0</v>
          </cell>
          <cell r="M89">
            <v>0</v>
          </cell>
          <cell r="N89">
            <v>0</v>
          </cell>
          <cell r="S89">
            <v>0</v>
          </cell>
          <cell r="T89">
            <v>0</v>
          </cell>
          <cell r="U89">
            <v>60</v>
          </cell>
          <cell r="Y89">
            <v>55</v>
          </cell>
          <cell r="Z89">
            <v>55</v>
          </cell>
          <cell r="AA89">
            <v>55</v>
          </cell>
          <cell r="AB89">
            <v>57</v>
          </cell>
          <cell r="AC89">
            <v>53</v>
          </cell>
          <cell r="AD89">
            <v>54</v>
          </cell>
          <cell r="AK89">
            <v>1006620.404662634</v>
          </cell>
          <cell r="AL89">
            <v>389</v>
          </cell>
          <cell r="BS89">
            <v>0</v>
          </cell>
          <cell r="BT89">
            <v>0</v>
          </cell>
          <cell r="BU89">
            <v>0</v>
          </cell>
          <cell r="BV89">
            <v>0</v>
          </cell>
          <cell r="BW89">
            <v>0</v>
          </cell>
          <cell r="BX89">
            <v>0</v>
          </cell>
          <cell r="BY89">
            <v>0</v>
          </cell>
          <cell r="BZ89">
            <v>0</v>
          </cell>
          <cell r="CA89">
            <v>0</v>
          </cell>
          <cell r="CB89">
            <v>0</v>
          </cell>
          <cell r="CC89">
            <v>0</v>
          </cell>
          <cell r="CD89">
            <v>0</v>
          </cell>
          <cell r="CE89">
            <v>0</v>
          </cell>
          <cell r="CF89">
            <v>22680.611130037629</v>
          </cell>
          <cell r="CI89">
            <v>0</v>
          </cell>
          <cell r="CJ89">
            <v>0</v>
          </cell>
          <cell r="CK89">
            <v>7895.53</v>
          </cell>
          <cell r="CL89">
            <v>5386.5081505406924</v>
          </cell>
          <cell r="CM89">
            <v>35962.64928057832</v>
          </cell>
          <cell r="CQ89">
            <v>6855.5786350148364</v>
          </cell>
          <cell r="CR89">
            <v>9043.7099999999991</v>
          </cell>
          <cell r="CS89">
            <v>4850.046243630215</v>
          </cell>
          <cell r="CT89">
            <v>20749.334878645052</v>
          </cell>
          <cell r="CU89">
            <v>3003.2387510207782</v>
          </cell>
          <cell r="CV89">
            <v>9009.7162530623336</v>
          </cell>
          <cell r="CW89">
            <v>12012.955004083113</v>
          </cell>
          <cell r="CX89">
            <v>0</v>
          </cell>
          <cell r="CZ89">
            <v>0</v>
          </cell>
          <cell r="DC89">
            <v>0</v>
          </cell>
          <cell r="DD89">
            <v>23801.906772449169</v>
          </cell>
          <cell r="DE89">
            <v>19100.040227372101</v>
          </cell>
          <cell r="DF89">
            <v>2568.3522742578525</v>
          </cell>
          <cell r="DG89">
            <v>0</v>
          </cell>
          <cell r="DH89">
            <v>0</v>
          </cell>
          <cell r="DI89">
            <v>45470.299274079123</v>
          </cell>
          <cell r="DJ89">
            <v>0</v>
          </cell>
          <cell r="DK89">
            <v>19236</v>
          </cell>
          <cell r="DL89">
            <v>5561.39</v>
          </cell>
          <cell r="DM89">
            <v>70073.495851086889</v>
          </cell>
          <cell r="DN89">
            <v>0</v>
          </cell>
          <cell r="DO89">
            <v>0</v>
          </cell>
          <cell r="DP89">
            <v>0</v>
          </cell>
          <cell r="DQ89">
            <v>94870.885851086889</v>
          </cell>
          <cell r="DR89">
            <v>0</v>
          </cell>
          <cell r="DS89">
            <v>0</v>
          </cell>
          <cell r="DT89">
            <v>0</v>
          </cell>
          <cell r="DU89">
            <v>0</v>
          </cell>
          <cell r="DV89">
            <v>0</v>
          </cell>
          <cell r="DW89">
            <v>0</v>
          </cell>
          <cell r="DX89">
            <v>0</v>
          </cell>
          <cell r="DY89">
            <v>6535.6788848021042</v>
          </cell>
          <cell r="DZ89">
            <v>0</v>
          </cell>
          <cell r="EA89">
            <v>0</v>
          </cell>
          <cell r="EB89">
            <v>6535.6788848021042</v>
          </cell>
          <cell r="EE89">
            <v>0</v>
          </cell>
          <cell r="EH89">
            <v>0</v>
          </cell>
          <cell r="EI89">
            <v>0</v>
          </cell>
          <cell r="EK89">
            <v>0</v>
          </cell>
          <cell r="EL89">
            <v>626</v>
          </cell>
          <cell r="EM89">
            <v>0</v>
          </cell>
          <cell r="EO89">
            <v>626</v>
          </cell>
          <cell r="EP89">
            <v>0</v>
          </cell>
          <cell r="EQ89">
            <v>0</v>
          </cell>
          <cell r="ER89">
            <v>1222848.2078359087</v>
          </cell>
          <cell r="ET89">
            <v>389</v>
          </cell>
          <cell r="EU89">
            <v>3143.568657675858</v>
          </cell>
          <cell r="EV89" t="str">
            <v>No Variation Applied</v>
          </cell>
          <cell r="EW89">
            <v>16800</v>
          </cell>
          <cell r="EX89">
            <v>0</v>
          </cell>
          <cell r="EY89">
            <v>0</v>
          </cell>
          <cell r="EZ89">
            <v>77134.363080374664</v>
          </cell>
        </row>
        <row r="90">
          <cell r="C90" t="str">
            <v>Arboretum Primary School</v>
          </cell>
          <cell r="D90">
            <v>2629</v>
          </cell>
          <cell r="F90" t="str">
            <v/>
          </cell>
          <cell r="G90">
            <v>0</v>
          </cell>
          <cell r="H90">
            <v>40500</v>
          </cell>
          <cell r="I90">
            <v>0</v>
          </cell>
          <cell r="J90">
            <v>0</v>
          </cell>
          <cell r="L90">
            <v>141605.46527857118</v>
          </cell>
          <cell r="M90">
            <v>40500</v>
          </cell>
          <cell r="N90">
            <v>42.631578947368418</v>
          </cell>
          <cell r="S90">
            <v>0</v>
          </cell>
          <cell r="T90">
            <v>0</v>
          </cell>
          <cell r="U90">
            <v>45</v>
          </cell>
          <cell r="Y90">
            <v>44</v>
          </cell>
          <cell r="Z90">
            <v>44</v>
          </cell>
          <cell r="AA90">
            <v>44</v>
          </cell>
          <cell r="AB90">
            <v>45</v>
          </cell>
          <cell r="AC90">
            <v>45</v>
          </cell>
          <cell r="AD90">
            <v>42</v>
          </cell>
          <cell r="AK90">
            <v>798631.42749684514</v>
          </cell>
          <cell r="AL90">
            <v>309</v>
          </cell>
          <cell r="BS90">
            <v>26227.752000000004</v>
          </cell>
          <cell r="BT90">
            <v>0</v>
          </cell>
          <cell r="BU90">
            <v>6614.9639999999999</v>
          </cell>
          <cell r="BV90">
            <v>0</v>
          </cell>
          <cell r="BW90">
            <v>0</v>
          </cell>
          <cell r="BX90">
            <v>-3244.5777999999991</v>
          </cell>
          <cell r="BY90">
            <v>0</v>
          </cell>
          <cell r="BZ90">
            <v>3011.5493999999999</v>
          </cell>
          <cell r="CA90">
            <v>0</v>
          </cell>
          <cell r="CB90">
            <v>0</v>
          </cell>
          <cell r="CC90">
            <v>0</v>
          </cell>
          <cell r="CD90">
            <v>0</v>
          </cell>
          <cell r="CE90">
            <v>32609.687600000001</v>
          </cell>
          <cell r="CF90">
            <v>22680.611130037629</v>
          </cell>
          <cell r="CI90">
            <v>0</v>
          </cell>
          <cell r="CJ90">
            <v>0</v>
          </cell>
          <cell r="CK90">
            <v>6271.77</v>
          </cell>
          <cell r="CL90">
            <v>2177.6882951471657</v>
          </cell>
          <cell r="CM90">
            <v>31130.069425184796</v>
          </cell>
          <cell r="CQ90">
            <v>15234.619188921859</v>
          </cell>
          <cell r="CR90">
            <v>50845.77</v>
          </cell>
          <cell r="CS90">
            <v>54967.190761142439</v>
          </cell>
          <cell r="CT90">
            <v>121047.57995006429</v>
          </cell>
          <cell r="CU90">
            <v>0</v>
          </cell>
          <cell r="CV90">
            <v>0</v>
          </cell>
          <cell r="CW90">
            <v>0</v>
          </cell>
          <cell r="CX90">
            <v>146920.57861599582</v>
          </cell>
          <cell r="CZ90">
            <v>146920.57861599582</v>
          </cell>
          <cell r="DC90">
            <v>0</v>
          </cell>
          <cell r="DD90">
            <v>138490.52447340157</v>
          </cell>
          <cell r="DE90">
            <v>200323.04095612885</v>
          </cell>
          <cell r="DF90">
            <v>7705.0568227735575</v>
          </cell>
          <cell r="DG90">
            <v>0</v>
          </cell>
          <cell r="DH90">
            <v>0</v>
          </cell>
          <cell r="DI90">
            <v>346518.62225230399</v>
          </cell>
          <cell r="DJ90">
            <v>0</v>
          </cell>
          <cell r="DK90">
            <v>25877</v>
          </cell>
          <cell r="DL90">
            <v>5534.35</v>
          </cell>
          <cell r="DM90">
            <v>70073.495851086889</v>
          </cell>
          <cell r="DN90">
            <v>0</v>
          </cell>
          <cell r="DO90">
            <v>0</v>
          </cell>
          <cell r="DP90">
            <v>0</v>
          </cell>
          <cell r="DQ90">
            <v>101484.84585108689</v>
          </cell>
          <cell r="DR90">
            <v>0</v>
          </cell>
          <cell r="DS90">
            <v>0</v>
          </cell>
          <cell r="DT90">
            <v>0</v>
          </cell>
          <cell r="DU90">
            <v>0</v>
          </cell>
          <cell r="DV90">
            <v>0</v>
          </cell>
          <cell r="DW90">
            <v>0</v>
          </cell>
          <cell r="DX90">
            <v>0</v>
          </cell>
          <cell r="DY90">
            <v>8169.5986060026298</v>
          </cell>
          <cell r="DZ90">
            <v>0</v>
          </cell>
          <cell r="EA90">
            <v>0</v>
          </cell>
          <cell r="EB90">
            <v>8169.5986060026298</v>
          </cell>
          <cell r="EE90">
            <v>0</v>
          </cell>
          <cell r="EH90">
            <v>0</v>
          </cell>
          <cell r="EI90">
            <v>0</v>
          </cell>
          <cell r="EK90">
            <v>0</v>
          </cell>
          <cell r="EL90">
            <v>0</v>
          </cell>
          <cell r="EM90">
            <v>0</v>
          </cell>
          <cell r="EO90">
            <v>0</v>
          </cell>
          <cell r="EP90">
            <v>37135.745870695217</v>
          </cell>
          <cell r="EQ90">
            <v>174215.15287857119</v>
          </cell>
          <cell r="ER90">
            <v>1765253.6209467498</v>
          </cell>
          <cell r="ET90">
            <v>351.63157894736844</v>
          </cell>
          <cell r="EU90">
            <v>5020.1794339153184</v>
          </cell>
          <cell r="EV90" t="str">
            <v>No Variation Applied</v>
          </cell>
          <cell r="EW90">
            <v>66600</v>
          </cell>
          <cell r="EX90">
            <v>0</v>
          </cell>
          <cell r="EY90">
            <v>0</v>
          </cell>
          <cell r="EZ90">
            <v>389953.32970996998</v>
          </cell>
        </row>
        <row r="91">
          <cell r="C91" t="str">
            <v>Derby St Chad's CofE (VC) Nursery and Infant School</v>
          </cell>
          <cell r="D91">
            <v>3158</v>
          </cell>
          <cell r="F91" t="str">
            <v/>
          </cell>
          <cell r="G91">
            <v>0</v>
          </cell>
          <cell r="H91">
            <v>32670</v>
          </cell>
          <cell r="I91">
            <v>0</v>
          </cell>
          <cell r="J91">
            <v>0</v>
          </cell>
          <cell r="L91">
            <v>114228.40865804742</v>
          </cell>
          <cell r="M91">
            <v>32670</v>
          </cell>
          <cell r="N91">
            <v>34.389473684210529</v>
          </cell>
          <cell r="S91">
            <v>0</v>
          </cell>
          <cell r="T91">
            <v>0</v>
          </cell>
          <cell r="U91">
            <v>40</v>
          </cell>
          <cell r="Y91">
            <v>41</v>
          </cell>
          <cell r="Z91">
            <v>38</v>
          </cell>
          <cell r="AA91">
            <v>0</v>
          </cell>
          <cell r="AB91">
            <v>0</v>
          </cell>
          <cell r="AC91">
            <v>0</v>
          </cell>
          <cell r="AD91">
            <v>0</v>
          </cell>
          <cell r="AK91">
            <v>309847.21345507959</v>
          </cell>
          <cell r="AL91">
            <v>119</v>
          </cell>
          <cell r="BS91">
            <v>21121.464</v>
          </cell>
          <cell r="BT91">
            <v>0</v>
          </cell>
          <cell r="BU91">
            <v>5918.652</v>
          </cell>
          <cell r="BV91">
            <v>0</v>
          </cell>
          <cell r="BW91">
            <v>0</v>
          </cell>
          <cell r="BX91">
            <v>4676.6003999999957</v>
          </cell>
          <cell r="BY91">
            <v>0</v>
          </cell>
          <cell r="BZ91">
            <v>3011.5493999999999</v>
          </cell>
          <cell r="CA91">
            <v>0</v>
          </cell>
          <cell r="CB91">
            <v>0</v>
          </cell>
          <cell r="CC91">
            <v>0</v>
          </cell>
          <cell r="CD91">
            <v>0</v>
          </cell>
          <cell r="CE91">
            <v>34728.265799999994</v>
          </cell>
          <cell r="CF91">
            <v>22680.611130037629</v>
          </cell>
          <cell r="CI91">
            <v>0</v>
          </cell>
          <cell r="CJ91">
            <v>0</v>
          </cell>
          <cell r="CK91">
            <v>2415.34</v>
          </cell>
          <cell r="CL91">
            <v>788.73869347202992</v>
          </cell>
          <cell r="CM91">
            <v>25884.68982350966</v>
          </cell>
          <cell r="CQ91">
            <v>9140.7715133531146</v>
          </cell>
          <cell r="CR91">
            <v>19293.259999999998</v>
          </cell>
          <cell r="CS91">
            <v>16773.076592554495</v>
          </cell>
          <cell r="CT91">
            <v>45207.10810590761</v>
          </cell>
          <cell r="CU91">
            <v>2502.698959183982</v>
          </cell>
          <cell r="CV91">
            <v>0</v>
          </cell>
          <cell r="CW91">
            <v>2502.698959183982</v>
          </cell>
          <cell r="CX91">
            <v>0</v>
          </cell>
          <cell r="CZ91">
            <v>0</v>
          </cell>
          <cell r="DC91">
            <v>0</v>
          </cell>
          <cell r="DD91">
            <v>45185.280266904738</v>
          </cell>
          <cell r="DE91">
            <v>75718.016615653687</v>
          </cell>
          <cell r="DF91">
            <v>856.11742475261747</v>
          </cell>
          <cell r="DG91">
            <v>0</v>
          </cell>
          <cell r="DH91">
            <v>0</v>
          </cell>
          <cell r="DI91">
            <v>121759.41430731105</v>
          </cell>
          <cell r="DJ91">
            <v>0</v>
          </cell>
          <cell r="DK91">
            <v>1359.48</v>
          </cell>
          <cell r="DL91">
            <v>2248.44</v>
          </cell>
          <cell r="DM91">
            <v>74722.185859261808</v>
          </cell>
          <cell r="DN91">
            <v>0</v>
          </cell>
          <cell r="DO91">
            <v>0</v>
          </cell>
          <cell r="DP91">
            <v>0</v>
          </cell>
          <cell r="DQ91">
            <v>78330.105859261806</v>
          </cell>
          <cell r="DR91">
            <v>0</v>
          </cell>
          <cell r="DS91">
            <v>0</v>
          </cell>
          <cell r="DT91">
            <v>0</v>
          </cell>
          <cell r="DU91">
            <v>0</v>
          </cell>
          <cell r="DV91">
            <v>0</v>
          </cell>
          <cell r="DW91">
            <v>0</v>
          </cell>
          <cell r="DX91">
            <v>0</v>
          </cell>
          <cell r="DY91">
            <v>3267.8394424010521</v>
          </cell>
          <cell r="DZ91">
            <v>0</v>
          </cell>
          <cell r="EA91">
            <v>1866.5219672743483</v>
          </cell>
          <cell r="EB91">
            <v>5134.3614096754009</v>
          </cell>
          <cell r="EE91">
            <v>0</v>
          </cell>
          <cell r="EH91">
            <v>0</v>
          </cell>
          <cell r="EI91">
            <v>0</v>
          </cell>
          <cell r="EK91">
            <v>0</v>
          </cell>
          <cell r="EL91">
            <v>1502</v>
          </cell>
          <cell r="EM91">
            <v>0</v>
          </cell>
          <cell r="EO91">
            <v>1502</v>
          </cell>
          <cell r="EP91">
            <v>16415.275421207887</v>
          </cell>
          <cell r="EQ91">
            <v>148956.67445804743</v>
          </cell>
          <cell r="ER91">
            <v>755539.54179918452</v>
          </cell>
          <cell r="ET91">
            <v>153.38947368421054</v>
          </cell>
          <cell r="EU91">
            <v>4925.6283606177958</v>
          </cell>
          <cell r="EV91" t="str">
            <v>No Variation Applied</v>
          </cell>
          <cell r="EW91">
            <v>23400</v>
          </cell>
          <cell r="EX91">
            <v>0</v>
          </cell>
          <cell r="EY91">
            <v>0</v>
          </cell>
          <cell r="EZ91">
            <v>94167.494455598964</v>
          </cell>
        </row>
        <row r="92">
          <cell r="C92" t="str">
            <v>Bishop Lonsdale Church of England Aided Primary School and Nursery</v>
          </cell>
          <cell r="D92">
            <v>3525</v>
          </cell>
          <cell r="F92" t="str">
            <v/>
          </cell>
          <cell r="G92">
            <v>0</v>
          </cell>
          <cell r="H92">
            <v>26214</v>
          </cell>
          <cell r="I92">
            <v>0</v>
          </cell>
          <cell r="J92">
            <v>0</v>
          </cell>
          <cell r="L92">
            <v>91655.448563270736</v>
          </cell>
          <cell r="M92">
            <v>26214</v>
          </cell>
          <cell r="N92">
            <v>27.593684210526316</v>
          </cell>
          <cell r="S92">
            <v>0</v>
          </cell>
          <cell r="T92">
            <v>0</v>
          </cell>
          <cell r="U92">
            <v>30</v>
          </cell>
          <cell r="Y92">
            <v>29</v>
          </cell>
          <cell r="Z92">
            <v>30</v>
          </cell>
          <cell r="AA92">
            <v>29</v>
          </cell>
          <cell r="AB92">
            <v>29</v>
          </cell>
          <cell r="AC92">
            <v>28</v>
          </cell>
          <cell r="AD92">
            <v>27</v>
          </cell>
          <cell r="AK92">
            <v>522104.0812722363</v>
          </cell>
          <cell r="AL92">
            <v>202</v>
          </cell>
          <cell r="BS92">
            <v>5013.4464000000007</v>
          </cell>
          <cell r="BT92">
            <v>0</v>
          </cell>
          <cell r="BU92">
            <v>417.78720000000004</v>
          </cell>
          <cell r="BV92">
            <v>0</v>
          </cell>
          <cell r="BW92">
            <v>0</v>
          </cell>
          <cell r="BX92">
            <v>-2174.6742000000086</v>
          </cell>
          <cell r="BY92">
            <v>0</v>
          </cell>
          <cell r="BZ92">
            <v>1003.8498</v>
          </cell>
          <cell r="CA92">
            <v>0</v>
          </cell>
          <cell r="CB92">
            <v>0</v>
          </cell>
          <cell r="CC92">
            <v>0</v>
          </cell>
          <cell r="CD92">
            <v>0</v>
          </cell>
          <cell r="CE92">
            <v>4260.4091999999919</v>
          </cell>
          <cell r="CF92">
            <v>11340.305565018814</v>
          </cell>
          <cell r="CI92">
            <v>0</v>
          </cell>
          <cell r="CJ92">
            <v>0</v>
          </cell>
          <cell r="CK92">
            <v>4099.99</v>
          </cell>
          <cell r="CL92">
            <v>2535.5063365759402</v>
          </cell>
          <cell r="CM92">
            <v>17975.801901594754</v>
          </cell>
          <cell r="CQ92">
            <v>6855.5786350148364</v>
          </cell>
          <cell r="CR92">
            <v>4823.3100000000004</v>
          </cell>
          <cell r="CS92">
            <v>11114.689308319244</v>
          </cell>
          <cell r="CT92">
            <v>22793.577943334079</v>
          </cell>
          <cell r="CU92">
            <v>14515.653963267096</v>
          </cell>
          <cell r="CV92">
            <v>0</v>
          </cell>
          <cell r="CW92">
            <v>14515.653963267096</v>
          </cell>
          <cell r="CX92">
            <v>0</v>
          </cell>
          <cell r="CZ92">
            <v>0</v>
          </cell>
          <cell r="DC92">
            <v>0</v>
          </cell>
          <cell r="DD92">
            <v>75092.508850874321</v>
          </cell>
          <cell r="DE92">
            <v>63666.800757907011</v>
          </cell>
          <cell r="DF92">
            <v>6848.9393980209397</v>
          </cell>
          <cell r="DG92">
            <v>0</v>
          </cell>
          <cell r="DH92">
            <v>0</v>
          </cell>
          <cell r="DI92">
            <v>145608.24900680227</v>
          </cell>
          <cell r="DJ92">
            <v>0</v>
          </cell>
          <cell r="DK92">
            <v>4946.3999999999996</v>
          </cell>
          <cell r="DL92">
            <v>1797.04</v>
          </cell>
          <cell r="DM92">
            <v>70073.495851086889</v>
          </cell>
          <cell r="DN92">
            <v>0</v>
          </cell>
          <cell r="DO92">
            <v>0</v>
          </cell>
          <cell r="DP92">
            <v>0</v>
          </cell>
          <cell r="DQ92">
            <v>76816.935851086891</v>
          </cell>
          <cell r="DR92">
            <v>0</v>
          </cell>
          <cell r="DS92">
            <v>0</v>
          </cell>
          <cell r="DT92">
            <v>0</v>
          </cell>
          <cell r="DU92">
            <v>0</v>
          </cell>
          <cell r="DV92">
            <v>0</v>
          </cell>
          <cell r="DW92">
            <v>0</v>
          </cell>
          <cell r="DX92">
            <v>0</v>
          </cell>
          <cell r="DY92">
            <v>5228.5431078416832</v>
          </cell>
          <cell r="DZ92">
            <v>697.62975539376976</v>
          </cell>
          <cell r="EA92">
            <v>0</v>
          </cell>
          <cell r="EB92">
            <v>5926.1728632354534</v>
          </cell>
          <cell r="EE92">
            <v>0</v>
          </cell>
          <cell r="EH92">
            <v>0</v>
          </cell>
          <cell r="EI92">
            <v>0</v>
          </cell>
          <cell r="EK92">
            <v>0</v>
          </cell>
          <cell r="EL92">
            <v>8259</v>
          </cell>
          <cell r="EM92">
            <v>0</v>
          </cell>
          <cell r="EO92">
            <v>8259</v>
          </cell>
          <cell r="EP92">
            <v>13347.972446721629</v>
          </cell>
          <cell r="EQ92">
            <v>95915.857763270731</v>
          </cell>
          <cell r="ER92">
            <v>923263.30301154929</v>
          </cell>
          <cell r="ET92">
            <v>229.59368421052631</v>
          </cell>
          <cell r="EU92">
            <v>4021.2922502038928</v>
          </cell>
          <cell r="EV92" t="str">
            <v>No Variation Applied</v>
          </cell>
          <cell r="EW92">
            <v>37800</v>
          </cell>
          <cell r="EX92">
            <v>0</v>
          </cell>
          <cell r="EY92">
            <v>0</v>
          </cell>
          <cell r="EZ92">
            <v>123258.8410449239</v>
          </cell>
        </row>
        <row r="93">
          <cell r="C93" t="str">
            <v>St James' Church of England Aided Infant School</v>
          </cell>
          <cell r="D93">
            <v>3526</v>
          </cell>
          <cell r="F93" t="str">
            <v/>
          </cell>
          <cell r="G93">
            <v>0</v>
          </cell>
          <cell r="H93">
            <v>20430</v>
          </cell>
          <cell r="I93">
            <v>0</v>
          </cell>
          <cell r="J93">
            <v>0</v>
          </cell>
          <cell r="L93">
            <v>71432.0902627459</v>
          </cell>
          <cell r="M93">
            <v>20430</v>
          </cell>
          <cell r="N93">
            <v>21.505263157894738</v>
          </cell>
          <cell r="S93">
            <v>0</v>
          </cell>
          <cell r="T93">
            <v>0</v>
          </cell>
          <cell r="U93">
            <v>28</v>
          </cell>
          <cell r="Y93">
            <v>30</v>
          </cell>
          <cell r="Z93">
            <v>30</v>
          </cell>
          <cell r="AA93">
            <v>0</v>
          </cell>
          <cell r="AB93">
            <v>0</v>
          </cell>
          <cell r="AC93">
            <v>0</v>
          </cell>
          <cell r="AD93">
            <v>0</v>
          </cell>
          <cell r="AK93">
            <v>228409.59805691283</v>
          </cell>
          <cell r="AL93">
            <v>88</v>
          </cell>
          <cell r="BS93">
            <v>11489.148000000001</v>
          </cell>
          <cell r="BT93">
            <v>0</v>
          </cell>
          <cell r="BU93">
            <v>2204.9880000000003</v>
          </cell>
          <cell r="BV93">
            <v>0</v>
          </cell>
          <cell r="BW93">
            <v>0</v>
          </cell>
          <cell r="BX93">
            <v>-16409.817800000004</v>
          </cell>
          <cell r="BY93">
            <v>0</v>
          </cell>
          <cell r="BZ93">
            <v>2007.6995999999999</v>
          </cell>
          <cell r="CA93">
            <v>0</v>
          </cell>
          <cell r="CB93">
            <v>0</v>
          </cell>
          <cell r="CC93">
            <v>0</v>
          </cell>
          <cell r="CD93">
            <v>0</v>
          </cell>
          <cell r="CE93">
            <v>-707.98220000000219</v>
          </cell>
          <cell r="CF93">
            <v>11340.305565018814</v>
          </cell>
          <cell r="CI93">
            <v>0</v>
          </cell>
          <cell r="CJ93">
            <v>1522.79</v>
          </cell>
          <cell r="CK93">
            <v>1786.14</v>
          </cell>
          <cell r="CL93">
            <v>977.26647874095408</v>
          </cell>
          <cell r="CM93">
            <v>15626.502043759769</v>
          </cell>
          <cell r="CQ93">
            <v>5332.1167161226504</v>
          </cell>
          <cell r="CR93">
            <v>9445.66</v>
          </cell>
          <cell r="CS93">
            <v>10508.433527865467</v>
          </cell>
          <cell r="CT93">
            <v>25286.21024398812</v>
          </cell>
          <cell r="CU93">
            <v>0</v>
          </cell>
          <cell r="CV93">
            <v>0</v>
          </cell>
          <cell r="CW93">
            <v>0</v>
          </cell>
          <cell r="CX93">
            <v>0</v>
          </cell>
          <cell r="CZ93">
            <v>0</v>
          </cell>
          <cell r="DC93">
            <v>0</v>
          </cell>
          <cell r="DD93">
            <v>37148.081263816268</v>
          </cell>
          <cell r="DE93">
            <v>58664.409269785741</v>
          </cell>
          <cell r="DF93">
            <v>1712.2348495052349</v>
          </cell>
          <cell r="DG93">
            <v>0</v>
          </cell>
          <cell r="DH93">
            <v>0</v>
          </cell>
          <cell r="DI93">
            <v>97524.725383107245</v>
          </cell>
          <cell r="DJ93">
            <v>2289.2399999999998</v>
          </cell>
          <cell r="DK93">
            <v>956.73</v>
          </cell>
          <cell r="DL93">
            <v>1551.57</v>
          </cell>
          <cell r="DM93">
            <v>74722.185859261808</v>
          </cell>
          <cell r="DN93">
            <v>0</v>
          </cell>
          <cell r="DO93">
            <v>0</v>
          </cell>
          <cell r="DP93">
            <v>0</v>
          </cell>
          <cell r="DQ93">
            <v>79519.725859261802</v>
          </cell>
          <cell r="DR93">
            <v>0</v>
          </cell>
          <cell r="DS93">
            <v>0</v>
          </cell>
          <cell r="DT93">
            <v>0</v>
          </cell>
          <cell r="DU93">
            <v>0</v>
          </cell>
          <cell r="DV93">
            <v>0</v>
          </cell>
          <cell r="DW93">
            <v>0</v>
          </cell>
          <cell r="DX93">
            <v>0</v>
          </cell>
          <cell r="DY93">
            <v>2614.2715539208416</v>
          </cell>
          <cell r="DZ93">
            <v>303.91791324085017</v>
          </cell>
          <cell r="EA93">
            <v>14257.493434737313</v>
          </cell>
          <cell r="EB93">
            <v>17175.682901899003</v>
          </cell>
          <cell r="EE93">
            <v>0</v>
          </cell>
          <cell r="EH93">
            <v>0</v>
          </cell>
          <cell r="EI93">
            <v>0</v>
          </cell>
          <cell r="EK93">
            <v>0</v>
          </cell>
          <cell r="EL93">
            <v>0</v>
          </cell>
          <cell r="EM93">
            <v>0</v>
          </cell>
          <cell r="EO93">
            <v>0</v>
          </cell>
          <cell r="EP93">
            <v>0</v>
          </cell>
          <cell r="EQ93">
            <v>70724.108062745901</v>
          </cell>
          <cell r="ER93">
            <v>534266.55255167466</v>
          </cell>
          <cell r="ET93">
            <v>109.50526315789475</v>
          </cell>
          <cell r="EU93">
            <v>4878.912091935892</v>
          </cell>
          <cell r="EV93" t="str">
            <v>No Variation Applied</v>
          </cell>
          <cell r="EW93">
            <v>16800</v>
          </cell>
          <cell r="EX93">
            <v>0</v>
          </cell>
          <cell r="EY93">
            <v>0</v>
          </cell>
          <cell r="EZ93">
            <v>64156.116180947378</v>
          </cell>
        </row>
        <row r="94">
          <cell r="C94" t="str">
            <v>St Mary's Catholic Primary School and Nursery</v>
          </cell>
          <cell r="D94">
            <v>3528</v>
          </cell>
          <cell r="F94" t="str">
            <v/>
          </cell>
          <cell r="G94">
            <v>0</v>
          </cell>
          <cell r="H94">
            <v>23892</v>
          </cell>
          <cell r="I94">
            <v>0</v>
          </cell>
          <cell r="J94">
            <v>0</v>
          </cell>
          <cell r="L94">
            <v>83536.735220632661</v>
          </cell>
          <cell r="M94">
            <v>23892</v>
          </cell>
          <cell r="N94">
            <v>25.149473684210527</v>
          </cell>
          <cell r="S94">
            <v>0</v>
          </cell>
          <cell r="T94">
            <v>0</v>
          </cell>
          <cell r="U94">
            <v>42</v>
          </cell>
          <cell r="Y94">
            <v>45</v>
          </cell>
          <cell r="Z94">
            <v>47</v>
          </cell>
          <cell r="AA94">
            <v>50</v>
          </cell>
          <cell r="AB94">
            <v>46</v>
          </cell>
          <cell r="AC94">
            <v>43</v>
          </cell>
          <cell r="AD94">
            <v>51</v>
          </cell>
          <cell r="AK94">
            <v>835682.65055394033</v>
          </cell>
          <cell r="AL94">
            <v>324</v>
          </cell>
          <cell r="BS94">
            <v>4293.924</v>
          </cell>
          <cell r="BT94">
            <v>0</v>
          </cell>
          <cell r="BU94">
            <v>1253.3616000000002</v>
          </cell>
          <cell r="BV94">
            <v>0</v>
          </cell>
          <cell r="BW94">
            <v>0</v>
          </cell>
          <cell r="BX94">
            <v>12564.387999999999</v>
          </cell>
          <cell r="BY94">
            <v>0</v>
          </cell>
          <cell r="BZ94">
            <v>0</v>
          </cell>
          <cell r="CA94">
            <v>0</v>
          </cell>
          <cell r="CB94">
            <v>0</v>
          </cell>
          <cell r="CC94">
            <v>0</v>
          </cell>
          <cell r="CD94">
            <v>0</v>
          </cell>
          <cell r="CE94">
            <v>18111.673599999998</v>
          </cell>
          <cell r="CF94">
            <v>22680.611130037629</v>
          </cell>
          <cell r="CI94">
            <v>0</v>
          </cell>
          <cell r="CJ94">
            <v>0</v>
          </cell>
          <cell r="CK94">
            <v>6576.23</v>
          </cell>
          <cell r="CL94">
            <v>4844.0098296648084</v>
          </cell>
          <cell r="CM94">
            <v>34100.850959702439</v>
          </cell>
          <cell r="CQ94">
            <v>6093.8476755687434</v>
          </cell>
          <cell r="CR94">
            <v>14469.94</v>
          </cell>
          <cell r="CS94">
            <v>6870.8988451428049</v>
          </cell>
          <cell r="CT94">
            <v>27434.686520711548</v>
          </cell>
          <cell r="CU94">
            <v>2502.698959183982</v>
          </cell>
          <cell r="CV94">
            <v>0</v>
          </cell>
          <cell r="CW94">
            <v>2502.698959183982</v>
          </cell>
          <cell r="CX94">
            <v>0</v>
          </cell>
          <cell r="CZ94">
            <v>0</v>
          </cell>
          <cell r="DC94">
            <v>0</v>
          </cell>
          <cell r="DD94">
            <v>62262.484754200981</v>
          </cell>
          <cell r="DE94">
            <v>88451.376767235095</v>
          </cell>
          <cell r="DF94">
            <v>7705.0568227735575</v>
          </cell>
          <cell r="DG94">
            <v>0</v>
          </cell>
          <cell r="DH94">
            <v>0</v>
          </cell>
          <cell r="DI94">
            <v>158418.91834420964</v>
          </cell>
          <cell r="DJ94">
            <v>0</v>
          </cell>
          <cell r="DK94">
            <v>7557</v>
          </cell>
          <cell r="DL94">
            <v>3466.71</v>
          </cell>
          <cell r="DM94">
            <v>70073.495851086889</v>
          </cell>
          <cell r="DN94">
            <v>0</v>
          </cell>
          <cell r="DO94">
            <v>0</v>
          </cell>
          <cell r="DP94">
            <v>0</v>
          </cell>
          <cell r="DQ94">
            <v>81097.205851086881</v>
          </cell>
          <cell r="DR94">
            <v>0</v>
          </cell>
          <cell r="DS94">
            <v>0</v>
          </cell>
          <cell r="DT94">
            <v>0</v>
          </cell>
          <cell r="DU94">
            <v>0</v>
          </cell>
          <cell r="DV94">
            <v>0</v>
          </cell>
          <cell r="DW94">
            <v>0</v>
          </cell>
          <cell r="DX94">
            <v>0</v>
          </cell>
          <cell r="DY94">
            <v>6208.8949405619987</v>
          </cell>
          <cell r="DZ94">
            <v>1118.9704987504028</v>
          </cell>
          <cell r="EA94">
            <v>0</v>
          </cell>
          <cell r="EB94">
            <v>7327.8654393124016</v>
          </cell>
          <cell r="EE94">
            <v>0</v>
          </cell>
          <cell r="EH94">
            <v>0</v>
          </cell>
          <cell r="EI94">
            <v>0</v>
          </cell>
          <cell r="EK94">
            <v>0</v>
          </cell>
          <cell r="EL94">
            <v>4505</v>
          </cell>
          <cell r="EM94">
            <v>0</v>
          </cell>
          <cell r="EO94">
            <v>4505</v>
          </cell>
          <cell r="EP94">
            <v>0</v>
          </cell>
          <cell r="EQ94">
            <v>101648.40882063266</v>
          </cell>
          <cell r="ER94">
            <v>1252718.2854487796</v>
          </cell>
          <cell r="ET94">
            <v>349.14947368421053</v>
          </cell>
          <cell r="EU94">
            <v>3587.9140020752402</v>
          </cell>
          <cell r="EV94" t="str">
            <v>No Variation Applied</v>
          </cell>
          <cell r="EW94">
            <v>40450</v>
          </cell>
          <cell r="EX94">
            <v>0</v>
          </cell>
          <cell r="EY94">
            <v>0</v>
          </cell>
          <cell r="EZ94">
            <v>114086.11202520624</v>
          </cell>
        </row>
        <row r="95">
          <cell r="C95" t="str">
            <v>Walter Evans Church of England Aided Primary School</v>
          </cell>
          <cell r="D95">
            <v>3530</v>
          </cell>
          <cell r="F95" t="str">
            <v/>
          </cell>
          <cell r="G95">
            <v>0</v>
          </cell>
          <cell r="H95">
            <v>26760</v>
          </cell>
          <cell r="I95">
            <v>0</v>
          </cell>
          <cell r="J95">
            <v>0</v>
          </cell>
          <cell r="L95">
            <v>93564.500021100364</v>
          </cell>
          <cell r="M95">
            <v>26760</v>
          </cell>
          <cell r="N95">
            <v>28.168421052631579</v>
          </cell>
          <cell r="S95">
            <v>0</v>
          </cell>
          <cell r="T95">
            <v>0</v>
          </cell>
          <cell r="U95">
            <v>44</v>
          </cell>
          <cell r="Y95">
            <v>44</v>
          </cell>
          <cell r="Z95">
            <v>38</v>
          </cell>
          <cell r="AA95">
            <v>49</v>
          </cell>
          <cell r="AB95">
            <v>44</v>
          </cell>
          <cell r="AC95">
            <v>41</v>
          </cell>
          <cell r="AD95">
            <v>32</v>
          </cell>
          <cell r="AK95">
            <v>755329.63964485866</v>
          </cell>
          <cell r="AL95">
            <v>292</v>
          </cell>
          <cell r="BS95">
            <v>580.26</v>
          </cell>
          <cell r="BT95">
            <v>0</v>
          </cell>
          <cell r="BU95">
            <v>348.15600000000001</v>
          </cell>
          <cell r="BV95">
            <v>0</v>
          </cell>
          <cell r="BW95">
            <v>0</v>
          </cell>
          <cell r="BX95">
            <v>-6110.1040000000066</v>
          </cell>
          <cell r="BY95">
            <v>0</v>
          </cell>
          <cell r="BZ95">
            <v>2007.6995999999999</v>
          </cell>
          <cell r="CA95">
            <v>0</v>
          </cell>
          <cell r="CB95">
            <v>0</v>
          </cell>
          <cell r="CC95">
            <v>0</v>
          </cell>
          <cell r="CD95">
            <v>0</v>
          </cell>
          <cell r="CE95">
            <v>-3173.9884000000065</v>
          </cell>
          <cell r="CF95">
            <v>22680.611130037629</v>
          </cell>
          <cell r="CI95">
            <v>0</v>
          </cell>
          <cell r="CJ95">
            <v>0</v>
          </cell>
          <cell r="CK95">
            <v>5926.72</v>
          </cell>
          <cell r="CL95">
            <v>4928.6549577447331</v>
          </cell>
          <cell r="CM95">
            <v>33535.986087782367</v>
          </cell>
          <cell r="CQ95">
            <v>0</v>
          </cell>
          <cell r="CR95">
            <v>401.94</v>
          </cell>
          <cell r="CS95">
            <v>404.17052030251796</v>
          </cell>
          <cell r="CT95">
            <v>806.1105203025179</v>
          </cell>
          <cell r="CU95">
            <v>2502.698959183982</v>
          </cell>
          <cell r="CV95">
            <v>0</v>
          </cell>
          <cell r="CW95">
            <v>2502.698959183982</v>
          </cell>
          <cell r="CX95">
            <v>0</v>
          </cell>
          <cell r="CZ95">
            <v>0</v>
          </cell>
          <cell r="DC95">
            <v>0</v>
          </cell>
          <cell r="DD95">
            <v>10381.996510411533</v>
          </cell>
          <cell r="DE95">
            <v>5229.7729193995046</v>
          </cell>
          <cell r="DF95">
            <v>1712.2348495052349</v>
          </cell>
          <cell r="DG95">
            <v>0</v>
          </cell>
          <cell r="DH95">
            <v>0</v>
          </cell>
          <cell r="DI95">
            <v>17324.004279316272</v>
          </cell>
          <cell r="DJ95">
            <v>0</v>
          </cell>
          <cell r="DK95">
            <v>2496.1</v>
          </cell>
          <cell r="DL95">
            <v>4036.34</v>
          </cell>
          <cell r="DM95">
            <v>70073.495851086889</v>
          </cell>
          <cell r="DN95">
            <v>0</v>
          </cell>
          <cell r="DO95">
            <v>0</v>
          </cell>
          <cell r="DP95">
            <v>0</v>
          </cell>
          <cell r="DQ95">
            <v>76605.935851086891</v>
          </cell>
          <cell r="DR95">
            <v>0</v>
          </cell>
          <cell r="DS95">
            <v>0</v>
          </cell>
          <cell r="DT95">
            <v>0</v>
          </cell>
          <cell r="DU95">
            <v>0</v>
          </cell>
          <cell r="DV95">
            <v>0</v>
          </cell>
          <cell r="DW95">
            <v>0</v>
          </cell>
          <cell r="DX95">
            <v>0</v>
          </cell>
          <cell r="DY95">
            <v>4901.7591636015777</v>
          </cell>
          <cell r="DZ95">
            <v>1008.4548939355483</v>
          </cell>
          <cell r="EA95">
            <v>0</v>
          </cell>
          <cell r="EB95">
            <v>5910.2140575371259</v>
          </cell>
          <cell r="EE95">
            <v>0</v>
          </cell>
          <cell r="EH95">
            <v>0</v>
          </cell>
          <cell r="EI95">
            <v>0</v>
          </cell>
          <cell r="EK95">
            <v>0</v>
          </cell>
          <cell r="EL95">
            <v>0</v>
          </cell>
          <cell r="EM95">
            <v>0</v>
          </cell>
          <cell r="EO95">
            <v>0</v>
          </cell>
          <cell r="EP95">
            <v>0</v>
          </cell>
          <cell r="EQ95">
            <v>90390.511621100362</v>
          </cell>
          <cell r="ER95">
            <v>982405.10102116817</v>
          </cell>
          <cell r="ET95">
            <v>320.16842105263157</v>
          </cell>
          <cell r="EU95">
            <v>3068.4009928002033</v>
          </cell>
          <cell r="EV95" t="str">
            <v>No Variation Applied</v>
          </cell>
          <cell r="EW95">
            <v>7950</v>
          </cell>
          <cell r="EX95">
            <v>0</v>
          </cell>
          <cell r="EY95">
            <v>0</v>
          </cell>
          <cell r="EZ95">
            <v>34504.107192862066</v>
          </cell>
        </row>
        <row r="96">
          <cell r="C96" t="str">
            <v>St George's Catholic Primary School</v>
          </cell>
          <cell r="D96">
            <v>3531</v>
          </cell>
          <cell r="F96" t="str">
            <v/>
          </cell>
          <cell r="G96">
            <v>0</v>
          </cell>
          <cell r="H96">
            <v>0</v>
          </cell>
          <cell r="I96">
            <v>0</v>
          </cell>
          <cell r="J96">
            <v>0</v>
          </cell>
          <cell r="L96">
            <v>0</v>
          </cell>
          <cell r="M96">
            <v>0</v>
          </cell>
          <cell r="N96">
            <v>0</v>
          </cell>
          <cell r="S96">
            <v>0</v>
          </cell>
          <cell r="T96">
            <v>0</v>
          </cell>
          <cell r="U96">
            <v>51</v>
          </cell>
          <cell r="Y96">
            <v>51</v>
          </cell>
          <cell r="Z96">
            <v>51</v>
          </cell>
          <cell r="AA96">
            <v>52</v>
          </cell>
          <cell r="AB96">
            <v>52</v>
          </cell>
          <cell r="AC96">
            <v>43</v>
          </cell>
          <cell r="AD96">
            <v>50</v>
          </cell>
          <cell r="AK96">
            <v>904332.08363974979</v>
          </cell>
          <cell r="AL96">
            <v>350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22680.611130037629</v>
          </cell>
          <cell r="CI96">
            <v>0</v>
          </cell>
          <cell r="CJ96">
            <v>0</v>
          </cell>
          <cell r="CK96">
            <v>7103.95</v>
          </cell>
          <cell r="CL96">
            <v>4490.0392940578486</v>
          </cell>
          <cell r="CM96">
            <v>34274.600424095479</v>
          </cell>
          <cell r="CQ96">
            <v>5332.1167161226504</v>
          </cell>
          <cell r="CR96">
            <v>7234.97</v>
          </cell>
          <cell r="CS96">
            <v>15964.735551949459</v>
          </cell>
          <cell r="CT96">
            <v>28531.822268072108</v>
          </cell>
          <cell r="CU96">
            <v>3003.2387510207782</v>
          </cell>
          <cell r="CV96">
            <v>0</v>
          </cell>
          <cell r="CW96">
            <v>3003.2387510207782</v>
          </cell>
          <cell r="CX96">
            <v>0</v>
          </cell>
          <cell r="CZ96">
            <v>0</v>
          </cell>
          <cell r="DC96">
            <v>0</v>
          </cell>
          <cell r="DD96">
            <v>116812.20789626383</v>
          </cell>
          <cell r="DE96">
            <v>114600.24136423261</v>
          </cell>
          <cell r="DF96">
            <v>8561.1742475261744</v>
          </cell>
          <cell r="DG96">
            <v>0</v>
          </cell>
          <cell r="DH96">
            <v>0</v>
          </cell>
          <cell r="DI96">
            <v>239973.62350802263</v>
          </cell>
          <cell r="DJ96">
            <v>0</v>
          </cell>
          <cell r="DK96">
            <v>2885.4</v>
          </cell>
          <cell r="DL96">
            <v>8064.18</v>
          </cell>
          <cell r="DM96">
            <v>70073.495851086889</v>
          </cell>
          <cell r="DN96">
            <v>0</v>
          </cell>
          <cell r="DO96">
            <v>0</v>
          </cell>
          <cell r="DP96">
            <v>0</v>
          </cell>
          <cell r="DQ96">
            <v>81023.075851086891</v>
          </cell>
          <cell r="DR96">
            <v>0</v>
          </cell>
          <cell r="DS96">
            <v>0</v>
          </cell>
          <cell r="DT96">
            <v>0</v>
          </cell>
          <cell r="DU96">
            <v>0</v>
          </cell>
          <cell r="DV96">
            <v>0</v>
          </cell>
          <cell r="DW96">
            <v>0</v>
          </cell>
          <cell r="DX96">
            <v>0</v>
          </cell>
          <cell r="DY96">
            <v>4248.1912751213677</v>
          </cell>
          <cell r="DZ96">
            <v>1208.7644276624724</v>
          </cell>
          <cell r="EA96">
            <v>0</v>
          </cell>
          <cell r="EB96">
            <v>5456.95570278384</v>
          </cell>
          <cell r="EE96">
            <v>0</v>
          </cell>
          <cell r="EH96">
            <v>0</v>
          </cell>
          <cell r="EI96">
            <v>0</v>
          </cell>
          <cell r="EK96">
            <v>0</v>
          </cell>
          <cell r="EL96">
            <v>0</v>
          </cell>
          <cell r="EM96">
            <v>0</v>
          </cell>
          <cell r="EO96">
            <v>0</v>
          </cell>
          <cell r="EP96">
            <v>0</v>
          </cell>
          <cell r="EQ96">
            <v>0</v>
          </cell>
          <cell r="ER96">
            <v>1296595.4001448315</v>
          </cell>
          <cell r="ET96">
            <v>350</v>
          </cell>
          <cell r="EU96">
            <v>3704.55828612809</v>
          </cell>
          <cell r="EV96" t="str">
            <v>No Variation Applied</v>
          </cell>
          <cell r="EW96">
            <v>63600</v>
          </cell>
          <cell r="EX96">
            <v>0</v>
          </cell>
          <cell r="EY96">
            <v>0</v>
          </cell>
          <cell r="EZ96">
            <v>159872.26785371202</v>
          </cell>
        </row>
        <row r="97">
          <cell r="C97" t="str">
            <v>St Werburgh's Church of England VA Primary School</v>
          </cell>
          <cell r="D97">
            <v>3532</v>
          </cell>
          <cell r="F97" t="str">
            <v/>
          </cell>
          <cell r="G97">
            <v>0</v>
          </cell>
          <cell r="H97">
            <v>0</v>
          </cell>
          <cell r="I97">
            <v>0</v>
          </cell>
          <cell r="J97">
            <v>0</v>
          </cell>
          <cell r="L97">
            <v>0</v>
          </cell>
          <cell r="M97">
            <v>0</v>
          </cell>
          <cell r="N97">
            <v>0</v>
          </cell>
          <cell r="S97">
            <v>0</v>
          </cell>
          <cell r="T97">
            <v>0</v>
          </cell>
          <cell r="U97">
            <v>45</v>
          </cell>
          <cell r="Y97">
            <v>45</v>
          </cell>
          <cell r="Z97">
            <v>44</v>
          </cell>
          <cell r="AA97">
            <v>48</v>
          </cell>
          <cell r="AB97">
            <v>38</v>
          </cell>
          <cell r="AC97">
            <v>45</v>
          </cell>
          <cell r="AD97">
            <v>40</v>
          </cell>
          <cell r="AK97">
            <v>788235.24135032785</v>
          </cell>
          <cell r="AL97">
            <v>305</v>
          </cell>
          <cell r="BS97">
            <v>0</v>
          </cell>
          <cell r="BT97">
            <v>0</v>
          </cell>
          <cell r="BU97">
            <v>0</v>
          </cell>
          <cell r="BV97">
            <v>0</v>
          </cell>
          <cell r="BW97">
            <v>0</v>
          </cell>
          <cell r="BX97">
            <v>0</v>
          </cell>
          <cell r="BY97">
            <v>0</v>
          </cell>
          <cell r="BZ97">
            <v>0</v>
          </cell>
          <cell r="CA97">
            <v>0</v>
          </cell>
          <cell r="CB97">
            <v>0</v>
          </cell>
          <cell r="CC97">
            <v>0</v>
          </cell>
          <cell r="CD97">
            <v>0</v>
          </cell>
          <cell r="CE97">
            <v>0</v>
          </cell>
          <cell r="CF97">
            <v>22680.611130037629</v>
          </cell>
          <cell r="CI97">
            <v>0</v>
          </cell>
          <cell r="CJ97">
            <v>0</v>
          </cell>
          <cell r="CK97">
            <v>6190.58</v>
          </cell>
          <cell r="CL97">
            <v>5525.0183601260242</v>
          </cell>
          <cell r="CM97">
            <v>34396.209490163652</v>
          </cell>
          <cell r="CQ97">
            <v>1523.4619188921858</v>
          </cell>
          <cell r="CR97">
            <v>0</v>
          </cell>
          <cell r="CS97">
            <v>1010.4263007562949</v>
          </cell>
          <cell r="CT97">
            <v>2533.888219648481</v>
          </cell>
          <cell r="CU97">
            <v>11762.685108164713</v>
          </cell>
          <cell r="CV97">
            <v>0</v>
          </cell>
          <cell r="CW97">
            <v>11762.685108164713</v>
          </cell>
          <cell r="CX97">
            <v>0</v>
          </cell>
          <cell r="CZ97">
            <v>0</v>
          </cell>
          <cell r="DC97">
            <v>0</v>
          </cell>
          <cell r="DD97">
            <v>26589.118903795446</v>
          </cell>
          <cell r="DE97">
            <v>12733.360151581403</v>
          </cell>
          <cell r="DF97">
            <v>1712.2348495052349</v>
          </cell>
          <cell r="DG97">
            <v>0</v>
          </cell>
          <cell r="DH97">
            <v>0</v>
          </cell>
          <cell r="DI97">
            <v>41034.713904882083</v>
          </cell>
          <cell r="DJ97">
            <v>0</v>
          </cell>
          <cell r="DK97">
            <v>3915.9</v>
          </cell>
          <cell r="DL97">
            <v>4160.9399999999996</v>
          </cell>
          <cell r="DM97">
            <v>70073.495851086889</v>
          </cell>
          <cell r="DN97">
            <v>0</v>
          </cell>
          <cell r="DO97">
            <v>0</v>
          </cell>
          <cell r="DP97">
            <v>0</v>
          </cell>
          <cell r="DQ97">
            <v>78150.335851086886</v>
          </cell>
          <cell r="DR97">
            <v>0</v>
          </cell>
          <cell r="DS97">
            <v>0</v>
          </cell>
          <cell r="DT97">
            <v>0</v>
          </cell>
          <cell r="DU97">
            <v>0</v>
          </cell>
          <cell r="DV97">
            <v>0</v>
          </cell>
          <cell r="DW97">
            <v>0</v>
          </cell>
          <cell r="DX97">
            <v>0</v>
          </cell>
          <cell r="DY97">
            <v>3267.8394424010521</v>
          </cell>
          <cell r="DZ97">
            <v>1053.3518583915829</v>
          </cell>
          <cell r="EA97">
            <v>0</v>
          </cell>
          <cell r="EB97">
            <v>4321.191300792635</v>
          </cell>
          <cell r="EE97">
            <v>0</v>
          </cell>
          <cell r="EH97">
            <v>0</v>
          </cell>
          <cell r="EI97">
            <v>5352.8414999999995</v>
          </cell>
          <cell r="EK97">
            <v>0</v>
          </cell>
          <cell r="EL97">
            <v>13640</v>
          </cell>
          <cell r="EM97">
            <v>0</v>
          </cell>
          <cell r="EO97">
            <v>18992.841499999999</v>
          </cell>
          <cell r="EP97">
            <v>15226.878276318195</v>
          </cell>
          <cell r="EQ97">
            <v>0</v>
          </cell>
          <cell r="ER97">
            <v>994653.9850013844</v>
          </cell>
          <cell r="ET97">
            <v>305</v>
          </cell>
          <cell r="EU97">
            <v>3261.1606065619162</v>
          </cell>
          <cell r="EV97" t="str">
            <v>No Variation Applied</v>
          </cell>
          <cell r="EW97">
            <v>18600</v>
          </cell>
          <cell r="EX97">
            <v>0</v>
          </cell>
          <cell r="EY97">
            <v>0</v>
          </cell>
          <cell r="EZ97">
            <v>57648.233180288495</v>
          </cell>
        </row>
        <row r="98">
          <cell r="C98" t="str">
            <v>St John Fisher Catholic Primary School, Alvaston, Derby</v>
          </cell>
          <cell r="D98">
            <v>3533</v>
          </cell>
          <cell r="F98" t="str">
            <v/>
          </cell>
          <cell r="G98">
            <v>0</v>
          </cell>
          <cell r="H98">
            <v>0</v>
          </cell>
          <cell r="I98">
            <v>0</v>
          </cell>
          <cell r="J98">
            <v>0</v>
          </cell>
          <cell r="L98">
            <v>0</v>
          </cell>
          <cell r="M98">
            <v>0</v>
          </cell>
          <cell r="N98">
            <v>0</v>
          </cell>
          <cell r="S98">
            <v>0</v>
          </cell>
          <cell r="T98">
            <v>0</v>
          </cell>
          <cell r="U98">
            <v>30</v>
          </cell>
          <cell r="Y98">
            <v>30</v>
          </cell>
          <cell r="Z98">
            <v>30</v>
          </cell>
          <cell r="AA98">
            <v>35</v>
          </cell>
          <cell r="AB98">
            <v>29</v>
          </cell>
          <cell r="AC98">
            <v>33</v>
          </cell>
          <cell r="AD98">
            <v>26</v>
          </cell>
          <cell r="AK98">
            <v>550247.44205783936</v>
          </cell>
          <cell r="AL98">
            <v>213</v>
          </cell>
          <cell r="BS98">
            <v>0</v>
          </cell>
          <cell r="BT98">
            <v>0</v>
          </cell>
          <cell r="BU98">
            <v>0</v>
          </cell>
          <cell r="BV98">
            <v>0</v>
          </cell>
          <cell r="BW98">
            <v>0</v>
          </cell>
          <cell r="BX98">
            <v>0</v>
          </cell>
          <cell r="BY98">
            <v>0</v>
          </cell>
          <cell r="BZ98">
            <v>0</v>
          </cell>
          <cell r="CA98">
            <v>0</v>
          </cell>
          <cell r="CB98">
            <v>0</v>
          </cell>
          <cell r="CC98">
            <v>0</v>
          </cell>
          <cell r="CD98">
            <v>0</v>
          </cell>
          <cell r="CE98">
            <v>0</v>
          </cell>
          <cell r="CF98">
            <v>11340.305565018814</v>
          </cell>
          <cell r="CI98">
            <v>0</v>
          </cell>
          <cell r="CJ98">
            <v>0</v>
          </cell>
          <cell r="CK98">
            <v>4323.26</v>
          </cell>
          <cell r="CL98">
            <v>2054.5681088490924</v>
          </cell>
          <cell r="CM98">
            <v>17718.133673867906</v>
          </cell>
          <cell r="CQ98">
            <v>9902.5024727992077</v>
          </cell>
          <cell r="CR98">
            <v>5024.29</v>
          </cell>
          <cell r="CS98">
            <v>12327.200869226797</v>
          </cell>
          <cell r="CT98">
            <v>27253.993342026006</v>
          </cell>
          <cell r="CU98">
            <v>10511.335628572724</v>
          </cell>
          <cell r="CV98">
            <v>0</v>
          </cell>
          <cell r="CW98">
            <v>10511.335628572724</v>
          </cell>
          <cell r="CX98">
            <v>0</v>
          </cell>
          <cell r="CZ98">
            <v>0</v>
          </cell>
          <cell r="DC98">
            <v>0</v>
          </cell>
          <cell r="DD98">
            <v>85282.792357542465</v>
          </cell>
          <cell r="DE98">
            <v>85950.18102317446</v>
          </cell>
          <cell r="DF98">
            <v>856.11742475261747</v>
          </cell>
          <cell r="DG98">
            <v>0</v>
          </cell>
          <cell r="DH98">
            <v>0</v>
          </cell>
          <cell r="DI98">
            <v>172089.09080546955</v>
          </cell>
          <cell r="DJ98">
            <v>0</v>
          </cell>
          <cell r="DK98">
            <v>2358.6999999999998</v>
          </cell>
          <cell r="DL98">
            <v>3567.1</v>
          </cell>
          <cell r="DM98">
            <v>70073.495851086889</v>
          </cell>
          <cell r="DN98">
            <v>0</v>
          </cell>
          <cell r="DO98">
            <v>0</v>
          </cell>
          <cell r="DP98">
            <v>0</v>
          </cell>
          <cell r="DQ98">
            <v>75999.295851086892</v>
          </cell>
          <cell r="DR98">
            <v>0</v>
          </cell>
          <cell r="DS98">
            <v>0</v>
          </cell>
          <cell r="DT98">
            <v>0</v>
          </cell>
          <cell r="DU98">
            <v>0</v>
          </cell>
          <cell r="DV98">
            <v>0</v>
          </cell>
          <cell r="DW98">
            <v>0</v>
          </cell>
          <cell r="DX98">
            <v>0</v>
          </cell>
          <cell r="DY98">
            <v>7189.2467732823143</v>
          </cell>
          <cell r="DZ98">
            <v>735.61949454887599</v>
          </cell>
          <cell r="EA98">
            <v>0</v>
          </cell>
          <cell r="EB98">
            <v>7924.8662678311903</v>
          </cell>
          <cell r="EE98">
            <v>0</v>
          </cell>
          <cell r="EH98">
            <v>0</v>
          </cell>
          <cell r="EI98">
            <v>0</v>
          </cell>
          <cell r="EK98">
            <v>0</v>
          </cell>
          <cell r="EL98">
            <v>0</v>
          </cell>
          <cell r="EM98">
            <v>0</v>
          </cell>
          <cell r="EO98">
            <v>0</v>
          </cell>
          <cell r="EP98">
            <v>4509.35810113966</v>
          </cell>
          <cell r="EQ98">
            <v>0</v>
          </cell>
          <cell r="ER98">
            <v>866253.51572783326</v>
          </cell>
          <cell r="ET98">
            <v>213</v>
          </cell>
          <cell r="EU98">
            <v>4066.9179142151797</v>
          </cell>
          <cell r="EV98" t="str">
            <v>No Variation Applied</v>
          </cell>
          <cell r="EW98">
            <v>43800</v>
          </cell>
          <cell r="EX98">
            <v>0</v>
          </cell>
          <cell r="EY98">
            <v>0</v>
          </cell>
          <cell r="EZ98">
            <v>127700.33777155215</v>
          </cell>
        </row>
        <row r="99">
          <cell r="C99" t="str">
            <v>St Peter's Church of England Aided Junior School</v>
          </cell>
          <cell r="D99">
            <v>3534</v>
          </cell>
          <cell r="F99" t="str">
            <v/>
          </cell>
          <cell r="G99">
            <v>0</v>
          </cell>
          <cell r="H99">
            <v>0</v>
          </cell>
          <cell r="I99">
            <v>0</v>
          </cell>
          <cell r="J99">
            <v>0</v>
          </cell>
          <cell r="L99">
            <v>0</v>
          </cell>
          <cell r="M99">
            <v>0</v>
          </cell>
          <cell r="N99">
            <v>0</v>
          </cell>
          <cell r="S99">
            <v>0</v>
          </cell>
          <cell r="T99">
            <v>0</v>
          </cell>
          <cell r="U99">
            <v>0</v>
          </cell>
          <cell r="Y99">
            <v>0</v>
          </cell>
          <cell r="Z99">
            <v>0</v>
          </cell>
          <cell r="AA99">
            <v>57</v>
          </cell>
          <cell r="AB99">
            <v>59</v>
          </cell>
          <cell r="AC99">
            <v>56</v>
          </cell>
          <cell r="AD99">
            <v>64</v>
          </cell>
          <cell r="AK99">
            <v>606355.53839869483</v>
          </cell>
          <cell r="AL99">
            <v>236</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I99">
            <v>0</v>
          </cell>
          <cell r="CJ99">
            <v>0</v>
          </cell>
          <cell r="CK99">
            <v>4790.09</v>
          </cell>
          <cell r="CL99">
            <v>3901.3709033201872</v>
          </cell>
          <cell r="CM99">
            <v>8691.4609033201868</v>
          </cell>
          <cell r="CQ99">
            <v>4570.3857566765573</v>
          </cell>
          <cell r="CR99">
            <v>10651.49</v>
          </cell>
          <cell r="CS99">
            <v>13135.541909831834</v>
          </cell>
          <cell r="CT99">
            <v>28357.417666508391</v>
          </cell>
          <cell r="CU99">
            <v>10511.335628572724</v>
          </cell>
          <cell r="CV99">
            <v>0</v>
          </cell>
          <cell r="CW99">
            <v>10511.335628572724</v>
          </cell>
          <cell r="CX99">
            <v>0</v>
          </cell>
          <cell r="CZ99">
            <v>0</v>
          </cell>
          <cell r="DC99">
            <v>0</v>
          </cell>
          <cell r="DD99">
            <v>23624.94092283988</v>
          </cell>
          <cell r="DE99">
            <v>21601.235971432736</v>
          </cell>
          <cell r="DF99">
            <v>5136.704548515705</v>
          </cell>
          <cell r="DG99">
            <v>0</v>
          </cell>
          <cell r="DH99">
            <v>0</v>
          </cell>
          <cell r="DI99">
            <v>50362.881442788326</v>
          </cell>
          <cell r="DJ99">
            <v>0</v>
          </cell>
          <cell r="DK99">
            <v>2541.9</v>
          </cell>
          <cell r="DL99">
            <v>3426.63</v>
          </cell>
          <cell r="DM99">
            <v>70073.495851086889</v>
          </cell>
          <cell r="DN99">
            <v>0</v>
          </cell>
          <cell r="DO99">
            <v>0</v>
          </cell>
          <cell r="DP99">
            <v>0</v>
          </cell>
          <cell r="DQ99">
            <v>76042.025851086888</v>
          </cell>
          <cell r="DR99">
            <v>0</v>
          </cell>
          <cell r="DS99">
            <v>0</v>
          </cell>
          <cell r="DT99">
            <v>0</v>
          </cell>
          <cell r="DU99">
            <v>0</v>
          </cell>
          <cell r="DV99">
            <v>0</v>
          </cell>
          <cell r="DW99">
            <v>0</v>
          </cell>
          <cell r="DX99">
            <v>0</v>
          </cell>
          <cell r="DY99">
            <v>3267.8394424010521</v>
          </cell>
          <cell r="DZ99">
            <v>815.05258550955273</v>
          </cell>
          <cell r="EA99">
            <v>0</v>
          </cell>
          <cell r="EB99">
            <v>4082.8920279106051</v>
          </cell>
          <cell r="EE99">
            <v>0</v>
          </cell>
          <cell r="EH99">
            <v>0</v>
          </cell>
          <cell r="EI99">
            <v>0</v>
          </cell>
          <cell r="EK99">
            <v>0</v>
          </cell>
          <cell r="EL99">
            <v>5005</v>
          </cell>
          <cell r="EM99">
            <v>0</v>
          </cell>
          <cell r="EO99">
            <v>5005</v>
          </cell>
          <cell r="EP99">
            <v>0</v>
          </cell>
          <cell r="EQ99">
            <v>0</v>
          </cell>
          <cell r="ER99">
            <v>789408.55191888195</v>
          </cell>
          <cell r="ET99">
            <v>236</v>
          </cell>
          <cell r="EU99">
            <v>3344.9514911817032</v>
          </cell>
          <cell r="EV99" t="str">
            <v>No Variation Applied</v>
          </cell>
          <cell r="EW99">
            <v>25350</v>
          </cell>
          <cell r="EX99">
            <v>0</v>
          </cell>
          <cell r="EY99">
            <v>0</v>
          </cell>
          <cell r="EZ99">
            <v>67661.459374340498</v>
          </cell>
        </row>
        <row r="100">
          <cell r="C100" t="str">
            <v>St James' Church of England Aided Junior School</v>
          </cell>
          <cell r="D100">
            <v>3535</v>
          </cell>
          <cell r="F100" t="str">
            <v/>
          </cell>
          <cell r="G100">
            <v>0</v>
          </cell>
          <cell r="H100">
            <v>0</v>
          </cell>
          <cell r="I100">
            <v>0</v>
          </cell>
          <cell r="J100">
            <v>0</v>
          </cell>
          <cell r="L100">
            <v>0</v>
          </cell>
          <cell r="M100">
            <v>0</v>
          </cell>
          <cell r="N100">
            <v>0</v>
          </cell>
          <cell r="S100">
            <v>0</v>
          </cell>
          <cell r="T100">
            <v>0</v>
          </cell>
          <cell r="U100">
            <v>0</v>
          </cell>
          <cell r="Y100">
            <v>0</v>
          </cell>
          <cell r="Z100">
            <v>0</v>
          </cell>
          <cell r="AA100">
            <v>75</v>
          </cell>
          <cell r="AB100">
            <v>65</v>
          </cell>
          <cell r="AC100">
            <v>51</v>
          </cell>
          <cell r="AD100">
            <v>72</v>
          </cell>
          <cell r="AK100">
            <v>675726.72287651151</v>
          </cell>
          <cell r="AL100">
            <v>263</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I100">
            <v>0</v>
          </cell>
          <cell r="CJ100">
            <v>4551.07</v>
          </cell>
          <cell r="CK100">
            <v>5338.11</v>
          </cell>
          <cell r="CL100">
            <v>4089.8986885891113</v>
          </cell>
          <cell r="CM100">
            <v>13979.078688589112</v>
          </cell>
          <cell r="CQ100">
            <v>25137.121661721067</v>
          </cell>
          <cell r="CR100">
            <v>44213.71</v>
          </cell>
          <cell r="CS100">
            <v>39406.625729495499</v>
          </cell>
          <cell r="CT100">
            <v>108757.45739121657</v>
          </cell>
          <cell r="CU100">
            <v>12138.08995204231</v>
          </cell>
          <cell r="CV100">
            <v>0</v>
          </cell>
          <cell r="CW100">
            <v>12138.08995204231</v>
          </cell>
          <cell r="CX100">
            <v>0</v>
          </cell>
          <cell r="CZ100">
            <v>0</v>
          </cell>
          <cell r="DC100">
            <v>0</v>
          </cell>
          <cell r="DD100">
            <v>107904.92679926305</v>
          </cell>
          <cell r="DE100">
            <v>173264.65063401836</v>
          </cell>
          <cell r="DF100">
            <v>8561.1742475261744</v>
          </cell>
          <cell r="DG100">
            <v>0</v>
          </cell>
          <cell r="DH100">
            <v>0</v>
          </cell>
          <cell r="DI100">
            <v>289730.75168080756</v>
          </cell>
          <cell r="DJ100">
            <v>5450.68</v>
          </cell>
          <cell r="DK100">
            <v>2267.1</v>
          </cell>
          <cell r="DL100">
            <v>6310.63</v>
          </cell>
          <cell r="DM100">
            <v>70073.495851086889</v>
          </cell>
          <cell r="DN100">
            <v>0</v>
          </cell>
          <cell r="DO100">
            <v>0</v>
          </cell>
          <cell r="DP100">
            <v>0</v>
          </cell>
          <cell r="DQ100">
            <v>84101.905851086893</v>
          </cell>
          <cell r="DR100">
            <v>0</v>
          </cell>
          <cell r="DS100">
            <v>0</v>
          </cell>
          <cell r="DT100">
            <v>0</v>
          </cell>
          <cell r="DU100">
            <v>0</v>
          </cell>
          <cell r="DV100">
            <v>0</v>
          </cell>
          <cell r="DW100">
            <v>0</v>
          </cell>
          <cell r="DX100">
            <v>0</v>
          </cell>
          <cell r="DY100">
            <v>9803.5183272031554</v>
          </cell>
          <cell r="DZ100">
            <v>908.3001270720863</v>
          </cell>
          <cell r="EA100">
            <v>0</v>
          </cell>
          <cell r="EB100">
            <v>10711.818454275242</v>
          </cell>
          <cell r="EE100">
            <v>0</v>
          </cell>
          <cell r="EH100">
            <v>0</v>
          </cell>
          <cell r="EI100">
            <v>0</v>
          </cell>
          <cell r="EK100">
            <v>0</v>
          </cell>
          <cell r="EL100">
            <v>501</v>
          </cell>
          <cell r="EM100">
            <v>0</v>
          </cell>
          <cell r="EO100">
            <v>501</v>
          </cell>
          <cell r="EP100">
            <v>7609.1426011084113</v>
          </cell>
          <cell r="EQ100">
            <v>0</v>
          </cell>
          <cell r="ER100">
            <v>1203255.9674956375</v>
          </cell>
          <cell r="ET100">
            <v>263</v>
          </cell>
          <cell r="EU100">
            <v>4575.1177471317014</v>
          </cell>
          <cell r="EV100" t="str">
            <v>No Variation Applied</v>
          </cell>
          <cell r="EW100">
            <v>61200</v>
          </cell>
          <cell r="EX100">
            <v>0</v>
          </cell>
          <cell r="EY100">
            <v>0</v>
          </cell>
          <cell r="EZ100">
            <v>218789.78966916676</v>
          </cell>
        </row>
        <row r="101">
          <cell r="C101" t="str">
            <v>St Joseph's Catholic Primary School, Derby</v>
          </cell>
          <cell r="D101">
            <v>3542</v>
          </cell>
          <cell r="F101" t="str">
            <v/>
          </cell>
          <cell r="G101">
            <v>0</v>
          </cell>
          <cell r="H101">
            <v>0</v>
          </cell>
          <cell r="I101">
            <v>0</v>
          </cell>
          <cell r="J101">
            <v>0</v>
          </cell>
          <cell r="L101">
            <v>0</v>
          </cell>
          <cell r="M101">
            <v>0</v>
          </cell>
          <cell r="N101">
            <v>0</v>
          </cell>
          <cell r="S101">
            <v>0</v>
          </cell>
          <cell r="T101">
            <v>0</v>
          </cell>
          <cell r="U101">
            <v>51</v>
          </cell>
          <cell r="Y101">
            <v>50</v>
          </cell>
          <cell r="Z101">
            <v>50</v>
          </cell>
          <cell r="AA101">
            <v>51</v>
          </cell>
          <cell r="AB101">
            <v>51</v>
          </cell>
          <cell r="AC101">
            <v>47</v>
          </cell>
          <cell r="AD101">
            <v>49</v>
          </cell>
          <cell r="AK101">
            <v>902000.72777351213</v>
          </cell>
          <cell r="AL101">
            <v>349</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22680.611130037629</v>
          </cell>
          <cell r="CI101">
            <v>0</v>
          </cell>
          <cell r="CJ101">
            <v>6039.25</v>
          </cell>
          <cell r="CK101">
            <v>7083.65</v>
          </cell>
          <cell r="CL101">
            <v>3908.1040385083629</v>
          </cell>
          <cell r="CM101">
            <v>39711.615168545992</v>
          </cell>
          <cell r="CQ101">
            <v>6093.8476755687434</v>
          </cell>
          <cell r="CR101">
            <v>24719.48</v>
          </cell>
          <cell r="CS101">
            <v>11720.94508877302</v>
          </cell>
          <cell r="CT101">
            <v>42534.27276434176</v>
          </cell>
          <cell r="CU101">
            <v>0</v>
          </cell>
          <cell r="CV101">
            <v>0</v>
          </cell>
          <cell r="CW101">
            <v>0</v>
          </cell>
          <cell r="CX101">
            <v>0</v>
          </cell>
          <cell r="CZ101">
            <v>0</v>
          </cell>
          <cell r="DC101">
            <v>0</v>
          </cell>
          <cell r="DD101">
            <v>60006.170171682563</v>
          </cell>
          <cell r="DE101">
            <v>128925.27153476169</v>
          </cell>
          <cell r="DF101">
            <v>5992.8219732683219</v>
          </cell>
          <cell r="DG101">
            <v>0</v>
          </cell>
          <cell r="DH101">
            <v>0</v>
          </cell>
          <cell r="DI101">
            <v>194924.26367971257</v>
          </cell>
          <cell r="DJ101">
            <v>6950.4</v>
          </cell>
          <cell r="DK101">
            <v>4213.6000000000004</v>
          </cell>
          <cell r="DL101">
            <v>2580.71</v>
          </cell>
          <cell r="DM101">
            <v>70073.495851086889</v>
          </cell>
          <cell r="DN101">
            <v>0</v>
          </cell>
          <cell r="DO101">
            <v>0</v>
          </cell>
          <cell r="DP101">
            <v>0</v>
          </cell>
          <cell r="DQ101">
            <v>83818.205851086881</v>
          </cell>
          <cell r="DR101">
            <v>0</v>
          </cell>
          <cell r="DS101">
            <v>0</v>
          </cell>
          <cell r="DT101">
            <v>0</v>
          </cell>
          <cell r="DU101">
            <v>0</v>
          </cell>
          <cell r="DV101">
            <v>0</v>
          </cell>
          <cell r="DW101">
            <v>0</v>
          </cell>
          <cell r="DX101">
            <v>0</v>
          </cell>
          <cell r="DY101">
            <v>3594.6233866411571</v>
          </cell>
          <cell r="DZ101">
            <v>1205.3108150120081</v>
          </cell>
          <cell r="EA101">
            <v>0</v>
          </cell>
          <cell r="EB101">
            <v>4799.9342016531655</v>
          </cell>
          <cell r="EE101">
            <v>0</v>
          </cell>
          <cell r="EH101">
            <v>0</v>
          </cell>
          <cell r="EI101">
            <v>0</v>
          </cell>
          <cell r="EK101">
            <v>0</v>
          </cell>
          <cell r="EL101">
            <v>0</v>
          </cell>
          <cell r="EM101">
            <v>0</v>
          </cell>
          <cell r="EO101">
            <v>0</v>
          </cell>
          <cell r="EP101">
            <v>0</v>
          </cell>
          <cell r="EQ101">
            <v>0</v>
          </cell>
          <cell r="ER101">
            <v>1267789.0194388526</v>
          </cell>
          <cell r="ET101">
            <v>349</v>
          </cell>
          <cell r="EU101">
            <v>3632.6332935210676</v>
          </cell>
          <cell r="EV101" t="str">
            <v>No Variation Applied</v>
          </cell>
          <cell r="EW101">
            <v>36850</v>
          </cell>
          <cell r="EX101">
            <v>0</v>
          </cell>
          <cell r="EY101">
            <v>0</v>
          </cell>
          <cell r="EZ101">
            <v>115045.36826348184</v>
          </cell>
        </row>
        <row r="102">
          <cell r="C102" t="str">
            <v>St Alban's Catholic Primary School, Chaddesden, Derby</v>
          </cell>
          <cell r="D102">
            <v>3543</v>
          </cell>
          <cell r="F102" t="str">
            <v/>
          </cell>
          <cell r="G102">
            <v>0</v>
          </cell>
          <cell r="H102">
            <v>25110</v>
          </cell>
          <cell r="I102">
            <v>0</v>
          </cell>
          <cell r="J102">
            <v>0</v>
          </cell>
          <cell r="L102">
            <v>87795.388472714127</v>
          </cell>
          <cell r="M102">
            <v>25110</v>
          </cell>
          <cell r="N102">
            <v>26.431578947368422</v>
          </cell>
          <cell r="S102">
            <v>0</v>
          </cell>
          <cell r="T102">
            <v>0</v>
          </cell>
          <cell r="U102">
            <v>45</v>
          </cell>
          <cell r="Y102">
            <v>46</v>
          </cell>
          <cell r="Z102">
            <v>41</v>
          </cell>
          <cell r="AA102">
            <v>35</v>
          </cell>
          <cell r="AB102">
            <v>37</v>
          </cell>
          <cell r="AC102">
            <v>39</v>
          </cell>
          <cell r="AD102">
            <v>34</v>
          </cell>
          <cell r="AK102">
            <v>716532.70100627351</v>
          </cell>
          <cell r="AL102">
            <v>277</v>
          </cell>
          <cell r="BS102">
            <v>3655.6380000000004</v>
          </cell>
          <cell r="BT102">
            <v>0</v>
          </cell>
          <cell r="BU102">
            <v>116.05200000000001</v>
          </cell>
          <cell r="BV102">
            <v>0</v>
          </cell>
          <cell r="BW102">
            <v>0</v>
          </cell>
          <cell r="BX102">
            <v>1066.6128000000026</v>
          </cell>
          <cell r="BY102">
            <v>0</v>
          </cell>
          <cell r="BZ102">
            <v>1003.8498</v>
          </cell>
          <cell r="CA102">
            <v>0</v>
          </cell>
          <cell r="CB102">
            <v>0</v>
          </cell>
          <cell r="CC102">
            <v>0</v>
          </cell>
          <cell r="CD102">
            <v>0</v>
          </cell>
          <cell r="CE102">
            <v>5842.1526000000031</v>
          </cell>
          <cell r="CF102">
            <v>22680.611130037629</v>
          </cell>
          <cell r="CI102">
            <v>0</v>
          </cell>
          <cell r="CJ102">
            <v>0</v>
          </cell>
          <cell r="CK102">
            <v>5622.27</v>
          </cell>
          <cell r="CL102">
            <v>4805.5347714466607</v>
          </cell>
          <cell r="CM102">
            <v>33108.415901484288</v>
          </cell>
          <cell r="CQ102">
            <v>1523.4619188921858</v>
          </cell>
          <cell r="CR102">
            <v>5024.29</v>
          </cell>
          <cell r="CS102">
            <v>4647.9609834789562</v>
          </cell>
          <cell r="CT102">
            <v>11195.712902371142</v>
          </cell>
          <cell r="CU102">
            <v>10511.335628572724</v>
          </cell>
          <cell r="CV102">
            <v>0</v>
          </cell>
          <cell r="CW102">
            <v>10511.335628572724</v>
          </cell>
          <cell r="CX102">
            <v>0</v>
          </cell>
          <cell r="CZ102">
            <v>0</v>
          </cell>
          <cell r="DC102">
            <v>0</v>
          </cell>
          <cell r="DD102">
            <v>44890.337184222597</v>
          </cell>
          <cell r="DE102">
            <v>48887.007724821451</v>
          </cell>
          <cell r="DF102">
            <v>5136.704548515705</v>
          </cell>
          <cell r="DG102">
            <v>0</v>
          </cell>
          <cell r="DH102">
            <v>0</v>
          </cell>
          <cell r="DI102">
            <v>98914.04945755974</v>
          </cell>
          <cell r="DJ102">
            <v>0</v>
          </cell>
          <cell r="DK102">
            <v>2885.4</v>
          </cell>
          <cell r="DL102">
            <v>5797.41</v>
          </cell>
          <cell r="DM102">
            <v>70073.495851086889</v>
          </cell>
          <cell r="DN102">
            <v>0</v>
          </cell>
          <cell r="DO102">
            <v>0</v>
          </cell>
          <cell r="DP102">
            <v>0</v>
          </cell>
          <cell r="DQ102">
            <v>78756.305851086887</v>
          </cell>
          <cell r="DR102">
            <v>0</v>
          </cell>
          <cell r="DS102">
            <v>0</v>
          </cell>
          <cell r="DT102">
            <v>0</v>
          </cell>
          <cell r="DU102">
            <v>0</v>
          </cell>
          <cell r="DV102">
            <v>0</v>
          </cell>
          <cell r="DW102">
            <v>0</v>
          </cell>
          <cell r="DX102">
            <v>0</v>
          </cell>
          <cell r="DY102">
            <v>2941.0554981609466</v>
          </cell>
          <cell r="DZ102">
            <v>956.65070417858522</v>
          </cell>
          <cell r="EA102">
            <v>0</v>
          </cell>
          <cell r="EB102">
            <v>3897.706202339532</v>
          </cell>
          <cell r="EE102">
            <v>0</v>
          </cell>
          <cell r="EH102">
            <v>0</v>
          </cell>
          <cell r="EI102">
            <v>0</v>
          </cell>
          <cell r="EK102">
            <v>0</v>
          </cell>
          <cell r="EL102">
            <v>0</v>
          </cell>
          <cell r="EM102">
            <v>0</v>
          </cell>
          <cell r="EO102">
            <v>0</v>
          </cell>
          <cell r="EP102">
            <v>12596.6774811754</v>
          </cell>
          <cell r="EQ102">
            <v>93637.541072714128</v>
          </cell>
          <cell r="ER102">
            <v>1059150.4455035774</v>
          </cell>
          <cell r="ET102">
            <v>303.43157894736839</v>
          </cell>
          <cell r="EU102">
            <v>3490.5742150433589</v>
          </cell>
          <cell r="EV102" t="str">
            <v>No Variation Applied</v>
          </cell>
          <cell r="EW102">
            <v>33000</v>
          </cell>
          <cell r="EX102">
            <v>0</v>
          </cell>
          <cell r="EY102">
            <v>0</v>
          </cell>
          <cell r="EZ102">
            <v>82765.550018481459</v>
          </cell>
        </row>
        <row r="103">
          <cell r="C103" t="str">
            <v>Hardwick Primary School</v>
          </cell>
          <cell r="D103">
            <v>3544</v>
          </cell>
          <cell r="F103" t="str">
            <v/>
          </cell>
          <cell r="G103">
            <v>0</v>
          </cell>
          <cell r="H103">
            <v>31920</v>
          </cell>
          <cell r="I103">
            <v>0</v>
          </cell>
          <cell r="J103">
            <v>0</v>
          </cell>
          <cell r="L103">
            <v>111606.08522696276</v>
          </cell>
          <cell r="M103">
            <v>31920</v>
          </cell>
          <cell r="N103">
            <v>33.6</v>
          </cell>
          <cell r="S103">
            <v>0</v>
          </cell>
          <cell r="T103">
            <v>0</v>
          </cell>
          <cell r="U103">
            <v>60</v>
          </cell>
          <cell r="Y103">
            <v>60</v>
          </cell>
          <cell r="Z103">
            <v>60</v>
          </cell>
          <cell r="AA103">
            <v>87</v>
          </cell>
          <cell r="AB103">
            <v>90</v>
          </cell>
          <cell r="AC103">
            <v>89</v>
          </cell>
          <cell r="AD103">
            <v>86</v>
          </cell>
          <cell r="AK103">
            <v>1372841.0157693299</v>
          </cell>
          <cell r="AL103">
            <v>532</v>
          </cell>
          <cell r="BS103">
            <v>20657.255999999998</v>
          </cell>
          <cell r="BT103">
            <v>0</v>
          </cell>
          <cell r="BU103">
            <v>5570.4960000000001</v>
          </cell>
          <cell r="BV103">
            <v>0</v>
          </cell>
          <cell r="BW103">
            <v>0</v>
          </cell>
          <cell r="BX103">
            <v>-15115.216699908138</v>
          </cell>
          <cell r="BY103">
            <v>0</v>
          </cell>
          <cell r="BZ103">
            <v>1003.8498</v>
          </cell>
          <cell r="CA103">
            <v>0</v>
          </cell>
          <cell r="CB103">
            <v>0</v>
          </cell>
          <cell r="CC103">
            <v>0</v>
          </cell>
          <cell r="CD103">
            <v>0</v>
          </cell>
          <cell r="CE103">
            <v>12116.385100091858</v>
          </cell>
          <cell r="CF103">
            <v>22680.611130037629</v>
          </cell>
          <cell r="CI103">
            <v>0</v>
          </cell>
          <cell r="CJ103">
            <v>0</v>
          </cell>
          <cell r="CK103">
            <v>10798</v>
          </cell>
          <cell r="CL103">
            <v>5553.874653789635</v>
          </cell>
          <cell r="CM103">
            <v>39032.485783827266</v>
          </cell>
          <cell r="CQ103">
            <v>37324.817012858555</v>
          </cell>
          <cell r="CR103">
            <v>96667.25</v>
          </cell>
          <cell r="CS103">
            <v>89119.599726705215</v>
          </cell>
          <cell r="CT103">
            <v>223111.66673956375</v>
          </cell>
          <cell r="CU103">
            <v>11011.875420409518</v>
          </cell>
          <cell r="CV103">
            <v>0</v>
          </cell>
          <cell r="CW103">
            <v>11011.875420409518</v>
          </cell>
          <cell r="CX103">
            <v>0</v>
          </cell>
          <cell r="CZ103">
            <v>0</v>
          </cell>
          <cell r="DC103">
            <v>0</v>
          </cell>
          <cell r="DD103">
            <v>199514.24828033752</v>
          </cell>
          <cell r="DE103">
            <v>349940.02273721033</v>
          </cell>
          <cell r="DF103">
            <v>10273.40909703141</v>
          </cell>
          <cell r="DG103">
            <v>0</v>
          </cell>
          <cell r="DH103">
            <v>0</v>
          </cell>
          <cell r="DI103">
            <v>559727.68011457927</v>
          </cell>
          <cell r="DJ103">
            <v>0</v>
          </cell>
          <cell r="DK103">
            <v>67784</v>
          </cell>
          <cell r="DL103">
            <v>4029.51</v>
          </cell>
          <cell r="DM103">
            <v>70073.495851086889</v>
          </cell>
          <cell r="DN103">
            <v>0</v>
          </cell>
          <cell r="DO103">
            <v>0</v>
          </cell>
          <cell r="DP103">
            <v>0</v>
          </cell>
          <cell r="DQ103">
            <v>141887.00585108687</v>
          </cell>
          <cell r="DR103">
            <v>119337.89101997581</v>
          </cell>
          <cell r="DS103">
            <v>0</v>
          </cell>
          <cell r="DT103">
            <v>20229.898887368596</v>
          </cell>
          <cell r="DU103">
            <v>0</v>
          </cell>
          <cell r="DV103">
            <v>0</v>
          </cell>
          <cell r="DW103">
            <v>0</v>
          </cell>
          <cell r="DX103">
            <v>139567.78990734441</v>
          </cell>
          <cell r="DY103">
            <v>14705.277490804734</v>
          </cell>
          <cell r="DZ103">
            <v>0</v>
          </cell>
          <cell r="EA103">
            <v>0</v>
          </cell>
          <cell r="EB103">
            <v>14705.277490804734</v>
          </cell>
          <cell r="EE103">
            <v>0</v>
          </cell>
          <cell r="EH103">
            <v>0</v>
          </cell>
          <cell r="EI103">
            <v>0</v>
          </cell>
          <cell r="EK103">
            <v>0</v>
          </cell>
          <cell r="EL103">
            <v>10137</v>
          </cell>
          <cell r="EM103">
            <v>0</v>
          </cell>
          <cell r="EO103">
            <v>10137</v>
          </cell>
          <cell r="EP103">
            <v>0</v>
          </cell>
          <cell r="EQ103">
            <v>123722.47032705462</v>
          </cell>
          <cell r="ER103">
            <v>2635744.2674040003</v>
          </cell>
          <cell r="ET103">
            <v>565.6</v>
          </cell>
          <cell r="EU103">
            <v>4660.0853384087695</v>
          </cell>
          <cell r="EV103" t="str">
            <v>No Variation Applied</v>
          </cell>
          <cell r="EW103">
            <v>115200</v>
          </cell>
          <cell r="EX103">
            <v>0</v>
          </cell>
          <cell r="EY103">
            <v>0</v>
          </cell>
          <cell r="EZ103">
            <v>398385.3839322807</v>
          </cell>
        </row>
        <row r="104">
          <cell r="C104" t="str">
            <v>Village Primary School</v>
          </cell>
          <cell r="D104">
            <v>3546</v>
          </cell>
          <cell r="F104" t="str">
            <v/>
          </cell>
          <cell r="G104">
            <v>0</v>
          </cell>
          <cell r="H104">
            <v>44460</v>
          </cell>
          <cell r="I104">
            <v>0</v>
          </cell>
          <cell r="J104">
            <v>0</v>
          </cell>
          <cell r="L104">
            <v>155451.33299469814</v>
          </cell>
          <cell r="M104">
            <v>44460</v>
          </cell>
          <cell r="N104">
            <v>46.8</v>
          </cell>
          <cell r="S104">
            <v>0</v>
          </cell>
          <cell r="T104">
            <v>0</v>
          </cell>
          <cell r="U104">
            <v>75</v>
          </cell>
          <cell r="Y104">
            <v>75</v>
          </cell>
          <cell r="Z104">
            <v>75</v>
          </cell>
          <cell r="AA104">
            <v>69</v>
          </cell>
          <cell r="AB104">
            <v>75</v>
          </cell>
          <cell r="AC104">
            <v>58</v>
          </cell>
          <cell r="AD104">
            <v>73</v>
          </cell>
          <cell r="AK104">
            <v>1292116.2534583374</v>
          </cell>
          <cell r="AL104">
            <v>500</v>
          </cell>
          <cell r="BS104">
            <v>22165.931999999997</v>
          </cell>
          <cell r="BT104">
            <v>0</v>
          </cell>
          <cell r="BU104">
            <v>3017.3519999999999</v>
          </cell>
          <cell r="BV104">
            <v>0</v>
          </cell>
          <cell r="BW104">
            <v>0</v>
          </cell>
          <cell r="BX104">
            <v>-13637.573399999994</v>
          </cell>
          <cell r="BY104">
            <v>0</v>
          </cell>
          <cell r="BZ104">
            <v>3011.5493999999999</v>
          </cell>
          <cell r="CA104">
            <v>0</v>
          </cell>
          <cell r="CB104">
            <v>0</v>
          </cell>
          <cell r="CC104">
            <v>0</v>
          </cell>
          <cell r="CD104">
            <v>0</v>
          </cell>
          <cell r="CE104">
            <v>14557.260000000002</v>
          </cell>
          <cell r="CF104">
            <v>34020.916695056439</v>
          </cell>
          <cell r="CI104">
            <v>0</v>
          </cell>
          <cell r="CJ104">
            <v>0</v>
          </cell>
          <cell r="CK104">
            <v>10148.5</v>
          </cell>
          <cell r="CL104">
            <v>4882.4848878829562</v>
          </cell>
          <cell r="CM104">
            <v>49051.901582939397</v>
          </cell>
          <cell r="CQ104">
            <v>5332.1167161226504</v>
          </cell>
          <cell r="CR104">
            <v>37179.71</v>
          </cell>
          <cell r="CS104">
            <v>37385.77312798291</v>
          </cell>
          <cell r="CT104">
            <v>79897.599844105556</v>
          </cell>
          <cell r="CU104">
            <v>34662.380584698149</v>
          </cell>
          <cell r="CV104">
            <v>0</v>
          </cell>
          <cell r="CW104">
            <v>34662.380584698149</v>
          </cell>
          <cell r="CX104">
            <v>0</v>
          </cell>
          <cell r="CZ104">
            <v>0</v>
          </cell>
          <cell r="DC104">
            <v>0</v>
          </cell>
          <cell r="DD104">
            <v>293247.15995672345</v>
          </cell>
          <cell r="DE104">
            <v>287182.74770441628</v>
          </cell>
          <cell r="DF104">
            <v>9417.2916722787922</v>
          </cell>
          <cell r="DG104">
            <v>0</v>
          </cell>
          <cell r="DH104">
            <v>0</v>
          </cell>
          <cell r="DI104">
            <v>589847.19933341851</v>
          </cell>
          <cell r="DJ104">
            <v>0</v>
          </cell>
          <cell r="DK104">
            <v>76028</v>
          </cell>
          <cell r="DL104">
            <v>4320.46</v>
          </cell>
          <cell r="DM104">
            <v>70073.495851086889</v>
          </cell>
          <cell r="DN104">
            <v>0</v>
          </cell>
          <cell r="DO104">
            <v>0</v>
          </cell>
          <cell r="DP104">
            <v>0</v>
          </cell>
          <cell r="DQ104">
            <v>150421.95585108688</v>
          </cell>
          <cell r="DR104">
            <v>0</v>
          </cell>
          <cell r="DS104">
            <v>0</v>
          </cell>
          <cell r="DT104">
            <v>0</v>
          </cell>
          <cell r="DU104">
            <v>0</v>
          </cell>
          <cell r="DV104">
            <v>0</v>
          </cell>
          <cell r="DW104">
            <v>0</v>
          </cell>
          <cell r="DX104">
            <v>0</v>
          </cell>
          <cell r="DY104">
            <v>7189.2467732823143</v>
          </cell>
          <cell r="DZ104">
            <v>0</v>
          </cell>
          <cell r="EA104">
            <v>0</v>
          </cell>
          <cell r="EB104">
            <v>7189.2467732823143</v>
          </cell>
          <cell r="EE104">
            <v>0</v>
          </cell>
          <cell r="EH104">
            <v>0</v>
          </cell>
          <cell r="EI104">
            <v>0</v>
          </cell>
          <cell r="EK104">
            <v>0</v>
          </cell>
          <cell r="EL104">
            <v>4129</v>
          </cell>
          <cell r="EM104">
            <v>0</v>
          </cell>
          <cell r="EO104">
            <v>4129</v>
          </cell>
          <cell r="EP104">
            <v>87191.508033495862</v>
          </cell>
          <cell r="EQ104">
            <v>170008.59299469815</v>
          </cell>
          <cell r="ER104">
            <v>2464515.6384560624</v>
          </cell>
          <cell r="ET104">
            <v>546.79999999999995</v>
          </cell>
          <cell r="EU104">
            <v>4507.1610066862886</v>
          </cell>
          <cell r="EV104" t="str">
            <v>No Variation Applied</v>
          </cell>
          <cell r="EW104">
            <v>145950</v>
          </cell>
          <cell r="EX104">
            <v>0</v>
          </cell>
          <cell r="EY104">
            <v>0</v>
          </cell>
          <cell r="EZ104">
            <v>414028.76277118706</v>
          </cell>
        </row>
        <row r="105">
          <cell r="C105" t="str">
            <v>Borrow Wood Primary School</v>
          </cell>
          <cell r="D105">
            <v>5201</v>
          </cell>
          <cell r="F105" t="str">
            <v/>
          </cell>
          <cell r="G105">
            <v>0</v>
          </cell>
          <cell r="H105">
            <v>29460</v>
          </cell>
          <cell r="I105">
            <v>0</v>
          </cell>
          <cell r="J105">
            <v>0</v>
          </cell>
          <cell r="L105">
            <v>103004.86437300511</v>
          </cell>
          <cell r="M105">
            <v>29460</v>
          </cell>
          <cell r="N105">
            <v>31.010526315789473</v>
          </cell>
          <cell r="S105">
            <v>0</v>
          </cell>
          <cell r="T105">
            <v>0</v>
          </cell>
          <cell r="U105">
            <v>60</v>
          </cell>
          <cell r="Y105">
            <v>59</v>
          </cell>
          <cell r="Z105">
            <v>53</v>
          </cell>
          <cell r="AA105">
            <v>53</v>
          </cell>
          <cell r="AB105">
            <v>38</v>
          </cell>
          <cell r="AC105">
            <v>54</v>
          </cell>
          <cell r="AD105">
            <v>45</v>
          </cell>
          <cell r="AK105">
            <v>937011.27292224672</v>
          </cell>
          <cell r="AL105">
            <v>362</v>
          </cell>
          <cell r="BS105">
            <v>2088.9360000000001</v>
          </cell>
          <cell r="BT105">
            <v>0</v>
          </cell>
          <cell r="BU105">
            <v>0</v>
          </cell>
          <cell r="BV105">
            <v>0</v>
          </cell>
          <cell r="BW105">
            <v>0</v>
          </cell>
          <cell r="BX105">
            <v>3346.0338121711393</v>
          </cell>
          <cell r="BY105">
            <v>0</v>
          </cell>
          <cell r="BZ105">
            <v>1003.8498</v>
          </cell>
          <cell r="CA105">
            <v>0</v>
          </cell>
          <cell r="CB105">
            <v>0</v>
          </cell>
          <cell r="CC105">
            <v>0</v>
          </cell>
          <cell r="CD105">
            <v>0</v>
          </cell>
          <cell r="CE105">
            <v>6438.8196121711389</v>
          </cell>
          <cell r="CF105">
            <v>22680.611130037629</v>
          </cell>
          <cell r="CI105">
            <v>0</v>
          </cell>
          <cell r="CJ105">
            <v>0</v>
          </cell>
          <cell r="CK105">
            <v>7347.51</v>
          </cell>
          <cell r="CL105">
            <v>6290.6720186671655</v>
          </cell>
          <cell r="CM105">
            <v>36318.793148704797</v>
          </cell>
          <cell r="CQ105">
            <v>1523.4619188921858</v>
          </cell>
          <cell r="CR105">
            <v>0</v>
          </cell>
          <cell r="CS105">
            <v>606.25578045377688</v>
          </cell>
          <cell r="CT105">
            <v>2129.7176993459625</v>
          </cell>
          <cell r="CU105">
            <v>15516.733546940686</v>
          </cell>
          <cell r="CV105">
            <v>0</v>
          </cell>
          <cell r="CW105">
            <v>15516.733546940686</v>
          </cell>
          <cell r="CX105">
            <v>0</v>
          </cell>
          <cell r="CZ105">
            <v>0</v>
          </cell>
          <cell r="DC105">
            <v>0</v>
          </cell>
          <cell r="DD105">
            <v>47515.330620093686</v>
          </cell>
          <cell r="DE105">
            <v>24329.813146771608</v>
          </cell>
          <cell r="DF105">
            <v>5992.8219732683219</v>
          </cell>
          <cell r="DG105">
            <v>0</v>
          </cell>
          <cell r="DH105">
            <v>0</v>
          </cell>
          <cell r="DI105">
            <v>77837.965740133615</v>
          </cell>
          <cell r="DJ105">
            <v>0</v>
          </cell>
          <cell r="DK105">
            <v>10396.6</v>
          </cell>
          <cell r="DL105">
            <v>6794.99</v>
          </cell>
          <cell r="DM105">
            <v>70073.495851086889</v>
          </cell>
          <cell r="DN105">
            <v>0</v>
          </cell>
          <cell r="DO105">
            <v>0</v>
          </cell>
          <cell r="DP105">
            <v>0</v>
          </cell>
          <cell r="DQ105">
            <v>87265.085851086886</v>
          </cell>
          <cell r="DR105">
            <v>0</v>
          </cell>
          <cell r="DS105">
            <v>0</v>
          </cell>
          <cell r="DT105">
            <v>0</v>
          </cell>
          <cell r="DU105">
            <v>0</v>
          </cell>
          <cell r="DV105">
            <v>0</v>
          </cell>
          <cell r="DW105">
            <v>0</v>
          </cell>
          <cell r="DX105">
            <v>0</v>
          </cell>
          <cell r="DY105">
            <v>6535.6788848021042</v>
          </cell>
          <cell r="DZ105">
            <v>1250.2077794680429</v>
          </cell>
          <cell r="EA105">
            <v>0</v>
          </cell>
          <cell r="EB105">
            <v>7785.8866642701469</v>
          </cell>
          <cell r="EE105">
            <v>0</v>
          </cell>
          <cell r="EH105">
            <v>0</v>
          </cell>
          <cell r="EI105">
            <v>9986.6869999999999</v>
          </cell>
          <cell r="EK105">
            <v>0</v>
          </cell>
          <cell r="EL105">
            <v>4254</v>
          </cell>
          <cell r="EM105">
            <v>0</v>
          </cell>
          <cell r="EO105">
            <v>14240.687</v>
          </cell>
          <cell r="EP105">
            <v>22237.158821712481</v>
          </cell>
          <cell r="EQ105">
            <v>109443.68398517625</v>
          </cell>
          <cell r="ER105">
            <v>1309786.9853796172</v>
          </cell>
          <cell r="ET105">
            <v>393.01052631578949</v>
          </cell>
          <cell r="EU105">
            <v>3332.7020465787346</v>
          </cell>
          <cell r="EV105" t="str">
            <v>No Variation Applied</v>
          </cell>
          <cell r="EW105">
            <v>32400</v>
          </cell>
          <cell r="EX105">
            <v>0</v>
          </cell>
          <cell r="EY105">
            <v>0</v>
          </cell>
          <cell r="EZ105">
            <v>93271.572647688154</v>
          </cell>
        </row>
        <row r="106">
          <cell r="C106" t="str">
            <v>Chellaston Junior School</v>
          </cell>
          <cell r="D106">
            <v>5203</v>
          </cell>
          <cell r="F106" t="str">
            <v/>
          </cell>
          <cell r="G106">
            <v>0</v>
          </cell>
          <cell r="H106">
            <v>0</v>
          </cell>
          <cell r="I106">
            <v>0</v>
          </cell>
          <cell r="J106">
            <v>0</v>
          </cell>
          <cell r="L106">
            <v>0</v>
          </cell>
          <cell r="M106">
            <v>0</v>
          </cell>
          <cell r="N106">
            <v>0</v>
          </cell>
          <cell r="S106">
            <v>0</v>
          </cell>
          <cell r="T106">
            <v>0</v>
          </cell>
          <cell r="U106">
            <v>0</v>
          </cell>
          <cell r="Y106">
            <v>0</v>
          </cell>
          <cell r="Z106">
            <v>0</v>
          </cell>
          <cell r="AA106">
            <v>120</v>
          </cell>
          <cell r="AB106">
            <v>120</v>
          </cell>
          <cell r="AC106">
            <v>121</v>
          </cell>
          <cell r="AD106">
            <v>120</v>
          </cell>
          <cell r="AK106">
            <v>1235834.8049566618</v>
          </cell>
          <cell r="AL106">
            <v>481</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I106">
            <v>0</v>
          </cell>
          <cell r="CJ106">
            <v>8323.43</v>
          </cell>
          <cell r="CK106">
            <v>9762.86</v>
          </cell>
          <cell r="CL106">
            <v>10680.676161357831</v>
          </cell>
          <cell r="CM106">
            <v>28766.966161357832</v>
          </cell>
          <cell r="CQ106">
            <v>2285.1928783382787</v>
          </cell>
          <cell r="CR106">
            <v>4622.34</v>
          </cell>
          <cell r="CS106">
            <v>8487.5809263528772</v>
          </cell>
          <cell r="CT106">
            <v>15395.113804691156</v>
          </cell>
          <cell r="CU106">
            <v>21773.480944900642</v>
          </cell>
          <cell r="CV106">
            <v>0</v>
          </cell>
          <cell r="CW106">
            <v>21773.480944900642</v>
          </cell>
          <cell r="CX106">
            <v>0</v>
          </cell>
          <cell r="CZ106">
            <v>0</v>
          </cell>
          <cell r="DC106">
            <v>0</v>
          </cell>
          <cell r="DD106">
            <v>71494.203242152144</v>
          </cell>
          <cell r="DE106">
            <v>39109.606179857161</v>
          </cell>
          <cell r="DF106">
            <v>6848.9393980209397</v>
          </cell>
          <cell r="DG106">
            <v>0</v>
          </cell>
          <cell r="DH106">
            <v>0</v>
          </cell>
          <cell r="DI106">
            <v>117452.74882003025</v>
          </cell>
          <cell r="DJ106">
            <v>9676.9500000000007</v>
          </cell>
          <cell r="DK106">
            <v>4442.6000000000004</v>
          </cell>
          <cell r="DL106">
            <v>5922.89</v>
          </cell>
          <cell r="DM106">
            <v>70073.495851086889</v>
          </cell>
          <cell r="DN106">
            <v>0</v>
          </cell>
          <cell r="DO106">
            <v>0</v>
          </cell>
          <cell r="DP106">
            <v>0</v>
          </cell>
          <cell r="DQ106">
            <v>90115.935851086891</v>
          </cell>
          <cell r="DR106">
            <v>0</v>
          </cell>
          <cell r="DS106">
            <v>0</v>
          </cell>
          <cell r="DT106">
            <v>0</v>
          </cell>
          <cell r="DU106">
            <v>0</v>
          </cell>
          <cell r="DV106">
            <v>0</v>
          </cell>
          <cell r="DW106">
            <v>0</v>
          </cell>
          <cell r="DX106">
            <v>0</v>
          </cell>
          <cell r="DY106">
            <v>3921.4073308812622</v>
          </cell>
          <cell r="DZ106">
            <v>1661.1876848732834</v>
          </cell>
          <cell r="EA106">
            <v>0</v>
          </cell>
          <cell r="EB106">
            <v>5582.5950157545458</v>
          </cell>
          <cell r="EE106">
            <v>0</v>
          </cell>
          <cell r="EH106">
            <v>0</v>
          </cell>
          <cell r="EI106">
            <v>13988.362700000005</v>
          </cell>
          <cell r="EK106">
            <v>0</v>
          </cell>
          <cell r="EL106">
            <v>2002</v>
          </cell>
          <cell r="EM106">
            <v>0</v>
          </cell>
          <cell r="EO106">
            <v>15990.362700000005</v>
          </cell>
          <cell r="EP106">
            <v>0</v>
          </cell>
          <cell r="EQ106">
            <v>0</v>
          </cell>
          <cell r="ER106">
            <v>1530912.0082544829</v>
          </cell>
          <cell r="ET106">
            <v>481</v>
          </cell>
          <cell r="EU106">
            <v>3182.7692479303178</v>
          </cell>
          <cell r="EV106" t="str">
            <v>No Variation Applied</v>
          </cell>
          <cell r="EW106">
            <v>51600</v>
          </cell>
          <cell r="EX106">
            <v>0</v>
          </cell>
          <cell r="EY106">
            <v>0</v>
          </cell>
          <cell r="EZ106">
            <v>131120.5851469879</v>
          </cell>
        </row>
        <row r="107">
          <cell r="C107" t="str">
            <v>Shelton Junior School</v>
          </cell>
          <cell r="D107">
            <v>5209</v>
          </cell>
          <cell r="F107" t="str">
            <v/>
          </cell>
          <cell r="G107">
            <v>0</v>
          </cell>
          <cell r="H107">
            <v>0</v>
          </cell>
          <cell r="I107">
            <v>0</v>
          </cell>
          <cell r="J107">
            <v>0</v>
          </cell>
          <cell r="L107">
            <v>0</v>
          </cell>
          <cell r="M107">
            <v>0</v>
          </cell>
          <cell r="N107">
            <v>0</v>
          </cell>
          <cell r="S107">
            <v>0</v>
          </cell>
          <cell r="T107">
            <v>0</v>
          </cell>
          <cell r="U107">
            <v>0</v>
          </cell>
          <cell r="Y107">
            <v>0</v>
          </cell>
          <cell r="Z107">
            <v>0</v>
          </cell>
          <cell r="AA107">
            <v>72</v>
          </cell>
          <cell r="AB107">
            <v>69</v>
          </cell>
          <cell r="AC107">
            <v>69</v>
          </cell>
          <cell r="AD107">
            <v>59</v>
          </cell>
          <cell r="AK107">
            <v>691142.54164935963</v>
          </cell>
          <cell r="AL107">
            <v>269</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I107">
            <v>0</v>
          </cell>
          <cell r="CJ107">
            <v>4654.8900000000003</v>
          </cell>
          <cell r="CK107">
            <v>5459.89</v>
          </cell>
          <cell r="CL107">
            <v>3216.5148670371559</v>
          </cell>
          <cell r="CM107">
            <v>13331.294867037157</v>
          </cell>
          <cell r="CQ107">
            <v>761.73095944609292</v>
          </cell>
          <cell r="CR107">
            <v>1808.74</v>
          </cell>
          <cell r="CS107">
            <v>5456.3020240839924</v>
          </cell>
          <cell r="CT107">
            <v>8026.7729835300852</v>
          </cell>
          <cell r="CU107">
            <v>4379.7231785719678</v>
          </cell>
          <cell r="CV107">
            <v>0</v>
          </cell>
          <cell r="CW107">
            <v>4379.7231785719678</v>
          </cell>
          <cell r="CX107">
            <v>0</v>
          </cell>
          <cell r="CZ107">
            <v>0</v>
          </cell>
          <cell r="DC107">
            <v>0</v>
          </cell>
          <cell r="DD107">
            <v>97581.918905387938</v>
          </cell>
          <cell r="DE107">
            <v>107778.79842588544</v>
          </cell>
          <cell r="DF107">
            <v>8561.1742475261744</v>
          </cell>
          <cell r="DG107">
            <v>0</v>
          </cell>
          <cell r="DH107">
            <v>0</v>
          </cell>
          <cell r="DI107">
            <v>213921.89157879955</v>
          </cell>
          <cell r="DJ107">
            <v>4468.0600000000004</v>
          </cell>
          <cell r="DK107">
            <v>2312.9</v>
          </cell>
          <cell r="DL107">
            <v>5139.75</v>
          </cell>
          <cell r="DM107">
            <v>70073.495851086889</v>
          </cell>
          <cell r="DN107">
            <v>0</v>
          </cell>
          <cell r="DO107">
            <v>0</v>
          </cell>
          <cell r="DP107">
            <v>0</v>
          </cell>
          <cell r="DQ107">
            <v>81994.205851086896</v>
          </cell>
          <cell r="DR107">
            <v>0</v>
          </cell>
          <cell r="DS107">
            <v>0</v>
          </cell>
          <cell r="DT107">
            <v>0</v>
          </cell>
          <cell r="DU107">
            <v>0</v>
          </cell>
          <cell r="DV107">
            <v>0</v>
          </cell>
          <cell r="DW107">
            <v>0</v>
          </cell>
          <cell r="DX107">
            <v>0</v>
          </cell>
          <cell r="DY107">
            <v>2941.0554981609466</v>
          </cell>
          <cell r="DZ107">
            <v>929.02180297487155</v>
          </cell>
          <cell r="EA107">
            <v>0</v>
          </cell>
          <cell r="EB107">
            <v>3870.0773011358183</v>
          </cell>
          <cell r="EE107">
            <v>0</v>
          </cell>
          <cell r="EH107">
            <v>0</v>
          </cell>
          <cell r="EI107">
            <v>0</v>
          </cell>
          <cell r="EK107">
            <v>0</v>
          </cell>
          <cell r="EL107">
            <v>0</v>
          </cell>
          <cell r="EM107">
            <v>0</v>
          </cell>
          <cell r="EO107">
            <v>0</v>
          </cell>
          <cell r="EP107">
            <v>0</v>
          </cell>
          <cell r="EQ107">
            <v>0</v>
          </cell>
          <cell r="ER107">
            <v>1016666.5074095213</v>
          </cell>
          <cell r="ET107">
            <v>269</v>
          </cell>
          <cell r="EU107">
            <v>3779.4293955744283</v>
          </cell>
          <cell r="EV107" t="str">
            <v>No Variation Applied</v>
          </cell>
          <cell r="EW107">
            <v>69250</v>
          </cell>
          <cell r="EX107">
            <v>0</v>
          </cell>
          <cell r="EY107">
            <v>0</v>
          </cell>
          <cell r="EZ107">
            <v>127317.2549385211</v>
          </cell>
        </row>
        <row r="109">
          <cell r="A109" t="str">
            <v>Middle Deemed Primary Schools</v>
          </cell>
        </row>
        <row r="110">
          <cell r="L110">
            <v>0</v>
          </cell>
          <cell r="M110">
            <v>0</v>
          </cell>
          <cell r="N110">
            <v>0</v>
          </cell>
          <cell r="S110">
            <v>0</v>
          </cell>
          <cell r="T110">
            <v>0</v>
          </cell>
          <cell r="AK110">
            <v>0</v>
          </cell>
          <cell r="AL110">
            <v>0</v>
          </cell>
          <cell r="CE110">
            <v>0</v>
          </cell>
          <cell r="CM110">
            <v>0</v>
          </cell>
          <cell r="CT110">
            <v>0</v>
          </cell>
          <cell r="CW110">
            <v>0</v>
          </cell>
          <cell r="CZ110">
            <v>0</v>
          </cell>
          <cell r="DC110">
            <v>0</v>
          </cell>
          <cell r="DI110">
            <v>0</v>
          </cell>
          <cell r="DQ110">
            <v>0</v>
          </cell>
          <cell r="DX110">
            <v>0</v>
          </cell>
          <cell r="EB110">
            <v>0</v>
          </cell>
          <cell r="EE110">
            <v>0</v>
          </cell>
          <cell r="EH110">
            <v>0</v>
          </cell>
          <cell r="EO110">
            <v>0</v>
          </cell>
          <cell r="EQ110">
            <v>0</v>
          </cell>
          <cell r="ER110">
            <v>0</v>
          </cell>
          <cell r="ET110">
            <v>0</v>
          </cell>
          <cell r="EU110">
            <v>0</v>
          </cell>
        </row>
        <row r="112">
          <cell r="B112" t="str">
            <v>Total/average Primary Schools</v>
          </cell>
          <cell r="G112">
            <v>0</v>
          </cell>
          <cell r="H112">
            <v>1151748</v>
          </cell>
          <cell r="I112">
            <v>0</v>
          </cell>
          <cell r="J112">
            <v>0</v>
          </cell>
          <cell r="K112">
            <v>0</v>
          </cell>
          <cell r="L112">
            <v>4027007.6894731792</v>
          </cell>
          <cell r="M112">
            <v>1151748</v>
          </cell>
          <cell r="N112">
            <v>1212.3663157894737</v>
          </cell>
          <cell r="O112">
            <v>0</v>
          </cell>
          <cell r="P112">
            <v>0</v>
          </cell>
          <cell r="Q112">
            <v>0</v>
          </cell>
          <cell r="R112">
            <v>0</v>
          </cell>
          <cell r="S112">
            <v>0</v>
          </cell>
          <cell r="T112">
            <v>0</v>
          </cell>
          <cell r="U112">
            <v>3073</v>
          </cell>
          <cell r="V112">
            <v>0</v>
          </cell>
          <cell r="W112">
            <v>0</v>
          </cell>
          <cell r="X112">
            <v>0</v>
          </cell>
          <cell r="Y112">
            <v>2984</v>
          </cell>
          <cell r="Z112">
            <v>2902</v>
          </cell>
          <cell r="AA112">
            <v>2904</v>
          </cell>
          <cell r="AB112">
            <v>2754</v>
          </cell>
          <cell r="AC112">
            <v>2703</v>
          </cell>
          <cell r="AD112">
            <v>2705</v>
          </cell>
          <cell r="AE112">
            <v>0</v>
          </cell>
          <cell r="AF112">
            <v>0</v>
          </cell>
          <cell r="AG112">
            <v>0</v>
          </cell>
          <cell r="AH112">
            <v>0</v>
          </cell>
          <cell r="AI112">
            <v>0</v>
          </cell>
          <cell r="AJ112">
            <v>0</v>
          </cell>
          <cell r="AK112">
            <v>51787081.491367385</v>
          </cell>
          <cell r="AL112">
            <v>20025</v>
          </cell>
          <cell r="BS112">
            <v>388178.46639999986</v>
          </cell>
          <cell r="BT112">
            <v>0</v>
          </cell>
          <cell r="BU112">
            <v>47898.528800000007</v>
          </cell>
          <cell r="BV112">
            <v>0</v>
          </cell>
          <cell r="BW112">
            <v>0</v>
          </cell>
          <cell r="BX112">
            <v>-95834.351361229812</v>
          </cell>
          <cell r="BY112">
            <v>0</v>
          </cell>
          <cell r="BZ112">
            <v>86331.082799999989</v>
          </cell>
          <cell r="CA112">
            <v>0</v>
          </cell>
          <cell r="CB112">
            <v>0</v>
          </cell>
          <cell r="CC112">
            <v>0</v>
          </cell>
          <cell r="CD112">
            <v>0</v>
          </cell>
          <cell r="CE112">
            <v>426573.72663877008</v>
          </cell>
          <cell r="CF112">
            <v>1338156.0566722197</v>
          </cell>
          <cell r="CG112">
            <v>0</v>
          </cell>
          <cell r="CH112">
            <v>0</v>
          </cell>
          <cell r="CI112">
            <v>0</v>
          </cell>
          <cell r="CJ112">
            <v>25091.43</v>
          </cell>
          <cell r="CK112">
            <v>406447.36000000016</v>
          </cell>
          <cell r="CL112">
            <v>224308.30690986101</v>
          </cell>
          <cell r="CM112">
            <v>1994003.1535820803</v>
          </cell>
          <cell r="CQ112">
            <v>541590.71216617187</v>
          </cell>
          <cell r="CR112">
            <v>786602.1399999999</v>
          </cell>
          <cell r="CS112">
            <v>815818.19523063255</v>
          </cell>
          <cell r="CT112">
            <v>2144011.0473968037</v>
          </cell>
          <cell r="CU112">
            <v>617465.88720987237</v>
          </cell>
          <cell r="CV112">
            <v>72077.730024498669</v>
          </cell>
          <cell r="CW112">
            <v>689543.6172343709</v>
          </cell>
          <cell r="CX112">
            <v>2353496.168027265</v>
          </cell>
          <cell r="CY112">
            <v>0</v>
          </cell>
          <cell r="CZ112">
            <v>2353496.168027265</v>
          </cell>
          <cell r="DA112">
            <v>0</v>
          </cell>
          <cell r="DB112">
            <v>0</v>
          </cell>
          <cell r="DC112">
            <v>0</v>
          </cell>
          <cell r="DD112">
            <v>6642029.7390771173</v>
          </cell>
          <cell r="DE112">
            <v>6240256.0000000028</v>
          </cell>
          <cell r="DF112">
            <v>539353.9775941493</v>
          </cell>
          <cell r="DG112">
            <v>0</v>
          </cell>
          <cell r="DH112">
            <v>0</v>
          </cell>
          <cell r="DI112">
            <v>13421639.716671266</v>
          </cell>
          <cell r="DJ112">
            <v>28835.33</v>
          </cell>
          <cell r="DK112">
            <v>1103902.7400000002</v>
          </cell>
          <cell r="DL112">
            <v>385040.63000000012</v>
          </cell>
          <cell r="DM112">
            <v>5091778.6013600025</v>
          </cell>
          <cell r="DN112">
            <v>0</v>
          </cell>
          <cell r="DO112">
            <v>0</v>
          </cell>
          <cell r="DP112">
            <v>0</v>
          </cell>
          <cell r="DQ112">
            <v>6609557.3013600055</v>
          </cell>
          <cell r="DR112">
            <v>268838.38087007642</v>
          </cell>
          <cell r="DS112">
            <v>0</v>
          </cell>
          <cell r="DT112">
            <v>31104.84474307199</v>
          </cell>
          <cell r="DU112">
            <v>0</v>
          </cell>
          <cell r="DV112">
            <v>0</v>
          </cell>
          <cell r="DW112">
            <v>0</v>
          </cell>
          <cell r="DX112">
            <v>299943.22561314842</v>
          </cell>
          <cell r="DY112">
            <v>406846.01057893108</v>
          </cell>
          <cell r="DZ112">
            <v>15365.122681915254</v>
          </cell>
          <cell r="EA112">
            <v>32313.418516252677</v>
          </cell>
          <cell r="EB112">
            <v>454524.55177709903</v>
          </cell>
          <cell r="EC112">
            <v>0</v>
          </cell>
          <cell r="ED112">
            <v>0</v>
          </cell>
          <cell r="EE112">
            <v>0</v>
          </cell>
          <cell r="EF112">
            <v>0</v>
          </cell>
          <cell r="EG112">
            <v>0</v>
          </cell>
          <cell r="EH112">
            <v>0</v>
          </cell>
          <cell r="EI112">
            <v>73232.580740000005</v>
          </cell>
          <cell r="EJ112">
            <v>0</v>
          </cell>
          <cell r="EK112">
            <v>0</v>
          </cell>
          <cell r="EL112">
            <v>312509</v>
          </cell>
          <cell r="EM112">
            <v>22184</v>
          </cell>
          <cell r="EN112">
            <v>0</v>
          </cell>
          <cell r="EO112">
            <v>407925.58074</v>
          </cell>
          <cell r="EP112">
            <v>990722.51514407375</v>
          </cell>
          <cell r="EQ112">
            <v>4453581.4161119508</v>
          </cell>
          <cell r="ER112">
            <v>85606029.785025463</v>
          </cell>
          <cell r="ET112">
            <v>21237.366315789473</v>
          </cell>
          <cell r="EU112">
            <v>4030.9155340688089</v>
          </cell>
          <cell r="EW112">
            <v>3641700</v>
          </cell>
          <cell r="EX112">
            <v>0</v>
          </cell>
          <cell r="EY112">
            <v>0</v>
          </cell>
          <cell r="EZ112">
            <v>12933618.800784685</v>
          </cell>
        </row>
        <row r="114">
          <cell r="A114" t="str">
            <v>Secondary Schools</v>
          </cell>
        </row>
        <row r="115">
          <cell r="C115" t="str">
            <v>Sinfin Community School</v>
          </cell>
          <cell r="D115">
            <v>4158</v>
          </cell>
          <cell r="F115" t="str">
            <v/>
          </cell>
          <cell r="G115">
            <v>0</v>
          </cell>
          <cell r="H115">
            <v>0</v>
          </cell>
          <cell r="I115">
            <v>0</v>
          </cell>
          <cell r="J115">
            <v>0</v>
          </cell>
          <cell r="L115">
            <v>0</v>
          </cell>
          <cell r="M115">
            <v>0</v>
          </cell>
          <cell r="N115">
            <v>0</v>
          </cell>
          <cell r="S115">
            <v>0</v>
          </cell>
          <cell r="T115">
            <v>0</v>
          </cell>
          <cell r="AW115">
            <v>158</v>
          </cell>
          <cell r="AX115">
            <v>217</v>
          </cell>
          <cell r="AY115">
            <v>208</v>
          </cell>
          <cell r="AZ115">
            <v>180</v>
          </cell>
          <cell r="BA115">
            <v>132</v>
          </cell>
          <cell r="BB115">
            <v>0</v>
          </cell>
          <cell r="BC115">
            <v>3121659.7636003783</v>
          </cell>
          <cell r="BD115">
            <v>895</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I115">
            <v>0</v>
          </cell>
          <cell r="CJ115">
            <v>0</v>
          </cell>
          <cell r="CK115">
            <v>27675.200000000001</v>
          </cell>
          <cell r="CL115">
            <v>10635.467967951507</v>
          </cell>
          <cell r="CM115">
            <v>38310.667967951507</v>
          </cell>
          <cell r="CN115">
            <v>0</v>
          </cell>
          <cell r="CO115">
            <v>0</v>
          </cell>
          <cell r="CP115">
            <v>0</v>
          </cell>
          <cell r="CQ115">
            <v>26660.583580613253</v>
          </cell>
          <cell r="CR115">
            <v>74979.622217422104</v>
          </cell>
          <cell r="CS115">
            <v>49043.306638249262</v>
          </cell>
          <cell r="CT115">
            <v>150683.51243628463</v>
          </cell>
          <cell r="CU115">
            <v>5826.492414329543</v>
          </cell>
          <cell r="CV115">
            <v>0</v>
          </cell>
          <cell r="CW115">
            <v>5826.492414329543</v>
          </cell>
          <cell r="CX115">
            <v>0</v>
          </cell>
          <cell r="CZ115">
            <v>0</v>
          </cell>
          <cell r="DC115">
            <v>0</v>
          </cell>
          <cell r="DD115">
            <v>309366.49522856972</v>
          </cell>
          <cell r="DE115">
            <v>316101.15560301358</v>
          </cell>
          <cell r="DF115">
            <v>59669.525040929933</v>
          </cell>
          <cell r="DG115">
            <v>351669.52085372945</v>
          </cell>
          <cell r="DH115">
            <v>28653.434986334571</v>
          </cell>
          <cell r="DI115">
            <v>1065460.1317125773</v>
          </cell>
          <cell r="DJ115">
            <v>0</v>
          </cell>
          <cell r="DK115">
            <v>17404</v>
          </cell>
          <cell r="DL115">
            <v>14712.544684989265</v>
          </cell>
          <cell r="DM115">
            <v>349775.30324456643</v>
          </cell>
          <cell r="DN115">
            <v>0</v>
          </cell>
          <cell r="DO115">
            <v>0</v>
          </cell>
          <cell r="DP115">
            <v>0</v>
          </cell>
          <cell r="DQ115">
            <v>381891.84792955569</v>
          </cell>
          <cell r="DR115">
            <v>0</v>
          </cell>
          <cell r="DS115">
            <v>0</v>
          </cell>
          <cell r="DT115">
            <v>0</v>
          </cell>
          <cell r="DU115">
            <v>0</v>
          </cell>
          <cell r="DV115">
            <v>0</v>
          </cell>
          <cell r="DW115">
            <v>0</v>
          </cell>
          <cell r="DX115">
            <v>0</v>
          </cell>
          <cell r="DY115">
            <v>53427.226659125365</v>
          </cell>
          <cell r="DZ115">
            <v>4682.6090626835021</v>
          </cell>
          <cell r="EA115">
            <v>0</v>
          </cell>
          <cell r="EB115">
            <v>58109.835721808864</v>
          </cell>
          <cell r="EE115">
            <v>0</v>
          </cell>
          <cell r="EH115">
            <v>0</v>
          </cell>
          <cell r="EI115">
            <v>7833.08025</v>
          </cell>
          <cell r="EK115">
            <v>0</v>
          </cell>
          <cell r="EL115">
            <v>56310.286654958778</v>
          </cell>
          <cell r="EM115">
            <v>0</v>
          </cell>
          <cell r="EO115">
            <v>64143.366904958777</v>
          </cell>
          <cell r="EP115">
            <v>749.30697459448129</v>
          </cell>
          <cell r="EQ115">
            <v>0</v>
          </cell>
          <cell r="ER115">
            <v>4886834.9256624393</v>
          </cell>
          <cell r="ES115">
            <v>0</v>
          </cell>
          <cell r="ET115">
            <v>895</v>
          </cell>
          <cell r="EU115">
            <v>5460.1507549300995</v>
          </cell>
          <cell r="EV115" t="str">
            <v>No Variation Applied</v>
          </cell>
          <cell r="EW115">
            <v>235000</v>
          </cell>
          <cell r="EX115">
            <v>0</v>
          </cell>
          <cell r="EY115">
            <v>0</v>
          </cell>
          <cell r="EZ115">
            <v>964286.66595578985</v>
          </cell>
        </row>
        <row r="116">
          <cell r="C116" t="str">
            <v>Bemrose School</v>
          </cell>
          <cell r="D116">
            <v>4177</v>
          </cell>
          <cell r="F116" t="str">
            <v/>
          </cell>
          <cell r="G116">
            <v>0</v>
          </cell>
          <cell r="H116">
            <v>0</v>
          </cell>
          <cell r="I116">
            <v>0</v>
          </cell>
          <cell r="J116">
            <v>0</v>
          </cell>
          <cell r="L116">
            <v>0</v>
          </cell>
          <cell r="M116">
            <v>0</v>
          </cell>
          <cell r="N116">
            <v>0</v>
          </cell>
          <cell r="S116">
            <v>0</v>
          </cell>
          <cell r="T116">
            <v>0</v>
          </cell>
          <cell r="AW116">
            <v>112</v>
          </cell>
          <cell r="AX116">
            <v>127</v>
          </cell>
          <cell r="AY116">
            <v>127</v>
          </cell>
          <cell r="AZ116">
            <v>166</v>
          </cell>
          <cell r="BA116">
            <v>114</v>
          </cell>
          <cell r="BB116">
            <v>0</v>
          </cell>
          <cell r="BC116">
            <v>2278563.4922423577</v>
          </cell>
          <cell r="BD116">
            <v>646</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I116">
            <v>0</v>
          </cell>
          <cell r="CJ116">
            <v>0</v>
          </cell>
          <cell r="CK116">
            <v>21181.58</v>
          </cell>
          <cell r="CL116">
            <v>5518.6058504229995</v>
          </cell>
          <cell r="CM116">
            <v>26700.185850423</v>
          </cell>
          <cell r="CN116">
            <v>0</v>
          </cell>
          <cell r="CO116">
            <v>0</v>
          </cell>
          <cell r="CP116">
            <v>0</v>
          </cell>
          <cell r="CQ116">
            <v>39610.009891196831</v>
          </cell>
          <cell r="CR116">
            <v>75391.598163671675</v>
          </cell>
          <cell r="CS116">
            <v>70322.427287076411</v>
          </cell>
          <cell r="CT116">
            <v>185324.03534194489</v>
          </cell>
          <cell r="CU116">
            <v>5826.492414329543</v>
          </cell>
          <cell r="CV116">
            <v>0</v>
          </cell>
          <cell r="CW116">
            <v>5826.492414329543</v>
          </cell>
          <cell r="CX116">
            <v>424905.67541130533</v>
          </cell>
          <cell r="CZ116">
            <v>424905.67541130533</v>
          </cell>
          <cell r="DC116">
            <v>0</v>
          </cell>
          <cell r="DD116">
            <v>286412.05177958042</v>
          </cell>
          <cell r="DE116">
            <v>296845.39787625318</v>
          </cell>
          <cell r="DF116">
            <v>49724.604200774949</v>
          </cell>
          <cell r="DG116">
            <v>373399.59026152932</v>
          </cell>
          <cell r="DH116">
            <v>26253.466008428906</v>
          </cell>
          <cell r="DI116">
            <v>1032635.1101265668</v>
          </cell>
          <cell r="DJ116">
            <v>0</v>
          </cell>
          <cell r="DK116">
            <v>18320</v>
          </cell>
          <cell r="DL116">
            <v>41653.876957218185</v>
          </cell>
          <cell r="DM116">
            <v>349775.30324456643</v>
          </cell>
          <cell r="DN116">
            <v>0</v>
          </cell>
          <cell r="DO116">
            <v>0</v>
          </cell>
          <cell r="DP116">
            <v>0</v>
          </cell>
          <cell r="DQ116">
            <v>409749.18020178459</v>
          </cell>
          <cell r="DR116">
            <v>0</v>
          </cell>
          <cell r="DS116">
            <v>0</v>
          </cell>
          <cell r="DT116">
            <v>0</v>
          </cell>
          <cell r="DU116">
            <v>0</v>
          </cell>
          <cell r="DV116">
            <v>0</v>
          </cell>
          <cell r="DW116">
            <v>0</v>
          </cell>
          <cell r="DX116">
            <v>0</v>
          </cell>
          <cell r="DY116">
            <v>59942.742105360165</v>
          </cell>
          <cell r="DZ116">
            <v>3583.8963217186579</v>
          </cell>
          <cell r="EA116">
            <v>25014.107810889549</v>
          </cell>
          <cell r="EB116">
            <v>88540.746237968371</v>
          </cell>
          <cell r="EE116">
            <v>0</v>
          </cell>
          <cell r="EH116">
            <v>0</v>
          </cell>
          <cell r="EI116">
            <v>24017.752675</v>
          </cell>
          <cell r="EK116">
            <v>-67124.723093170003</v>
          </cell>
          <cell r="EL116">
            <v>0</v>
          </cell>
          <cell r="EM116">
            <v>13121</v>
          </cell>
          <cell r="EO116">
            <v>-29985.970418170007</v>
          </cell>
          <cell r="EP116">
            <v>0</v>
          </cell>
          <cell r="EQ116">
            <v>0</v>
          </cell>
          <cell r="ER116">
            <v>4422258.9474085104</v>
          </cell>
          <cell r="ES116">
            <v>39</v>
          </cell>
          <cell r="ET116">
            <v>685</v>
          </cell>
          <cell r="EU116">
            <v>6455.8524779686286</v>
          </cell>
          <cell r="EV116" t="str">
            <v>No Variation Applied</v>
          </cell>
          <cell r="EW116">
            <v>189250</v>
          </cell>
          <cell r="EX116">
            <v>0</v>
          </cell>
          <cell r="EY116">
            <v>0</v>
          </cell>
          <cell r="EZ116">
            <v>1382821.6816414222</v>
          </cell>
        </row>
        <row r="117">
          <cell r="C117" t="str">
            <v>Derby Moor Community Sports College</v>
          </cell>
          <cell r="D117">
            <v>4178</v>
          </cell>
          <cell r="F117" t="str">
            <v/>
          </cell>
          <cell r="G117">
            <v>0</v>
          </cell>
          <cell r="H117">
            <v>0</v>
          </cell>
          <cell r="I117">
            <v>0</v>
          </cell>
          <cell r="J117">
            <v>0</v>
          </cell>
          <cell r="L117">
            <v>0</v>
          </cell>
          <cell r="M117">
            <v>0</v>
          </cell>
          <cell r="N117">
            <v>0</v>
          </cell>
          <cell r="S117">
            <v>0</v>
          </cell>
          <cell r="T117">
            <v>0</v>
          </cell>
          <cell r="AW117">
            <v>250</v>
          </cell>
          <cell r="AX117">
            <v>249</v>
          </cell>
          <cell r="AY117">
            <v>250</v>
          </cell>
          <cell r="AZ117">
            <v>248</v>
          </cell>
          <cell r="BA117">
            <v>236</v>
          </cell>
          <cell r="BB117">
            <v>0</v>
          </cell>
          <cell r="BC117">
            <v>4325661.8173406543</v>
          </cell>
          <cell r="BD117">
            <v>1233</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I117">
            <v>0</v>
          </cell>
          <cell r="CJ117">
            <v>0</v>
          </cell>
          <cell r="CK117">
            <v>41868.410000000003</v>
          </cell>
          <cell r="CL117">
            <v>12377.426228778148</v>
          </cell>
          <cell r="CM117">
            <v>54245.836228778149</v>
          </cell>
          <cell r="CN117">
            <v>0</v>
          </cell>
          <cell r="CO117">
            <v>0</v>
          </cell>
          <cell r="CP117">
            <v>0</v>
          </cell>
          <cell r="CQ117">
            <v>22851.928783382788</v>
          </cell>
          <cell r="CR117">
            <v>134716.13442361003</v>
          </cell>
          <cell r="CS117">
            <v>124634.84951455907</v>
          </cell>
          <cell r="CT117">
            <v>282202.9127215519</v>
          </cell>
          <cell r="CU117">
            <v>15294.542587615051</v>
          </cell>
          <cell r="CV117">
            <v>0</v>
          </cell>
          <cell r="CW117">
            <v>15294.542587615051</v>
          </cell>
          <cell r="CX117">
            <v>0</v>
          </cell>
          <cell r="CZ117">
            <v>0</v>
          </cell>
          <cell r="DC117">
            <v>0</v>
          </cell>
          <cell r="DD117">
            <v>358475.94590917358</v>
          </cell>
          <cell r="DE117">
            <v>372334.78436257935</v>
          </cell>
          <cell r="DF117">
            <v>59669.525040929933</v>
          </cell>
          <cell r="DG117">
            <v>362385.88490148424</v>
          </cell>
          <cell r="DH117">
            <v>34129.90001000074</v>
          </cell>
          <cell r="DI117">
            <v>1186996.0402241678</v>
          </cell>
          <cell r="DJ117">
            <v>0</v>
          </cell>
          <cell r="DK117">
            <v>23587</v>
          </cell>
          <cell r="DL117">
            <v>36173.633618087573</v>
          </cell>
          <cell r="DM117">
            <v>349775.30324456643</v>
          </cell>
          <cell r="DN117">
            <v>0</v>
          </cell>
          <cell r="DO117">
            <v>0</v>
          </cell>
          <cell r="DP117">
            <v>0</v>
          </cell>
          <cell r="DQ117">
            <v>409535.93686265399</v>
          </cell>
          <cell r="DR117">
            <v>0</v>
          </cell>
          <cell r="DS117">
            <v>0</v>
          </cell>
          <cell r="DT117">
            <v>0</v>
          </cell>
          <cell r="DU117">
            <v>0</v>
          </cell>
          <cell r="DV117">
            <v>0</v>
          </cell>
          <cell r="DW117">
            <v>0</v>
          </cell>
          <cell r="DX117">
            <v>0</v>
          </cell>
          <cell r="DY117">
            <v>36486.886498914879</v>
          </cell>
          <cell r="DZ117">
            <v>7084.0811965066614</v>
          </cell>
          <cell r="EA117">
            <v>0</v>
          </cell>
          <cell r="EB117">
            <v>43570.967695421539</v>
          </cell>
          <cell r="EE117">
            <v>0</v>
          </cell>
          <cell r="EH117">
            <v>0</v>
          </cell>
          <cell r="EI117">
            <v>18043.833143835614</v>
          </cell>
          <cell r="EK117">
            <v>-120004.3156188073</v>
          </cell>
          <cell r="EL117">
            <v>11312.379303337086</v>
          </cell>
          <cell r="EM117">
            <v>0</v>
          </cell>
          <cell r="EO117">
            <v>-90648.103171634604</v>
          </cell>
          <cell r="EP117">
            <v>0</v>
          </cell>
          <cell r="EQ117">
            <v>0</v>
          </cell>
          <cell r="ER117">
            <v>6226859.9504892081</v>
          </cell>
          <cell r="ES117">
            <v>121</v>
          </cell>
          <cell r="ET117">
            <v>1354</v>
          </cell>
          <cell r="EU117">
            <v>4598.8625926803606</v>
          </cell>
          <cell r="EV117" t="str">
            <v>No Variation Applied</v>
          </cell>
          <cell r="EW117">
            <v>266900</v>
          </cell>
          <cell r="EX117">
            <v>0</v>
          </cell>
          <cell r="EY117">
            <v>0</v>
          </cell>
          <cell r="EZ117">
            <v>1105755.684217449</v>
          </cell>
        </row>
        <row r="118">
          <cell r="C118" t="str">
            <v>Littleover Community School</v>
          </cell>
          <cell r="D118">
            <v>4182</v>
          </cell>
          <cell r="F118" t="str">
            <v/>
          </cell>
          <cell r="G118">
            <v>0</v>
          </cell>
          <cell r="H118">
            <v>0</v>
          </cell>
          <cell r="I118">
            <v>0</v>
          </cell>
          <cell r="J118">
            <v>0</v>
          </cell>
          <cell r="L118">
            <v>0</v>
          </cell>
          <cell r="M118">
            <v>0</v>
          </cell>
          <cell r="N118">
            <v>0</v>
          </cell>
          <cell r="S118">
            <v>0</v>
          </cell>
          <cell r="T118">
            <v>0</v>
          </cell>
          <cell r="AW118">
            <v>265</v>
          </cell>
          <cell r="AX118">
            <v>266</v>
          </cell>
          <cell r="AY118">
            <v>270</v>
          </cell>
          <cell r="AZ118">
            <v>253</v>
          </cell>
          <cell r="BA118">
            <v>251</v>
          </cell>
          <cell r="BB118">
            <v>0</v>
          </cell>
          <cell r="BC118">
            <v>4574427.3716929741</v>
          </cell>
          <cell r="BD118">
            <v>1305</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I118">
            <v>0</v>
          </cell>
          <cell r="CJ118">
            <v>0</v>
          </cell>
          <cell r="CK118">
            <v>47217.91</v>
          </cell>
          <cell r="CL118">
            <v>20387.93334979652</v>
          </cell>
          <cell r="CM118">
            <v>67605.843349796516</v>
          </cell>
          <cell r="CN118">
            <v>0</v>
          </cell>
          <cell r="CO118">
            <v>0</v>
          </cell>
          <cell r="CP118">
            <v>0</v>
          </cell>
          <cell r="CQ118">
            <v>9902.5024727992077</v>
          </cell>
          <cell r="CR118">
            <v>96402.37142239984</v>
          </cell>
          <cell r="CS118">
            <v>67485.211200566133</v>
          </cell>
          <cell r="CT118">
            <v>173790.08509576519</v>
          </cell>
          <cell r="CU118">
            <v>20392.7234501534</v>
          </cell>
          <cell r="CV118">
            <v>0</v>
          </cell>
          <cell r="CW118">
            <v>20392.7234501534</v>
          </cell>
          <cell r="CX118">
            <v>0</v>
          </cell>
          <cell r="CZ118">
            <v>0</v>
          </cell>
          <cell r="DC118">
            <v>0</v>
          </cell>
          <cell r="DD118">
            <v>123938.63191838541</v>
          </cell>
          <cell r="DE118">
            <v>84009.633268078542</v>
          </cell>
          <cell r="DF118">
            <v>33149.736133849961</v>
          </cell>
          <cell r="DG118">
            <v>196502.75791748613</v>
          </cell>
          <cell r="DH118">
            <v>26528.295078408701</v>
          </cell>
          <cell r="DI118">
            <v>464129.0543162087</v>
          </cell>
          <cell r="DJ118">
            <v>0</v>
          </cell>
          <cell r="DK118">
            <v>92516</v>
          </cell>
          <cell r="DL118">
            <v>30092.899673695418</v>
          </cell>
          <cell r="DM118">
            <v>349775.30324456643</v>
          </cell>
          <cell r="DN118">
            <v>0</v>
          </cell>
          <cell r="DO118">
            <v>0</v>
          </cell>
          <cell r="DP118">
            <v>0</v>
          </cell>
          <cell r="DQ118">
            <v>472384.20291826187</v>
          </cell>
          <cell r="DR118">
            <v>0</v>
          </cell>
          <cell r="DS118">
            <v>0</v>
          </cell>
          <cell r="DT118">
            <v>0</v>
          </cell>
          <cell r="DU118">
            <v>0</v>
          </cell>
          <cell r="DV118">
            <v>0</v>
          </cell>
          <cell r="DW118">
            <v>0</v>
          </cell>
          <cell r="DX118">
            <v>0</v>
          </cell>
          <cell r="DY118">
            <v>26062.0617849392</v>
          </cell>
          <cell r="DZ118">
            <v>0</v>
          </cell>
          <cell r="EA118">
            <v>0</v>
          </cell>
          <cell r="EB118">
            <v>26062.0617849392</v>
          </cell>
          <cell r="EE118">
            <v>0</v>
          </cell>
          <cell r="EH118">
            <v>0</v>
          </cell>
          <cell r="EI118">
            <v>0</v>
          </cell>
          <cell r="EK118">
            <v>-120004.85812282367</v>
          </cell>
          <cell r="EL118">
            <v>2792</v>
          </cell>
          <cell r="EM118">
            <v>0</v>
          </cell>
          <cell r="EO118">
            <v>-117212.85812282367</v>
          </cell>
          <cell r="EP118">
            <v>0</v>
          </cell>
          <cell r="EQ118">
            <v>0</v>
          </cell>
          <cell r="ER118">
            <v>5681578.4844852751</v>
          </cell>
          <cell r="ES118">
            <v>222</v>
          </cell>
          <cell r="ET118">
            <v>1527</v>
          </cell>
          <cell r="EU118">
            <v>3720.7455694075147</v>
          </cell>
          <cell r="EV118" t="str">
            <v>No Variation Applied</v>
          </cell>
          <cell r="EW118">
            <v>96800</v>
          </cell>
          <cell r="EX118">
            <v>0</v>
          </cell>
          <cell r="EY118">
            <v>0</v>
          </cell>
          <cell r="EZ118">
            <v>625068.53170515003</v>
          </cell>
        </row>
        <row r="119">
          <cell r="C119" t="str">
            <v>Saint Benedict Catholic School and Performing Arts College</v>
          </cell>
          <cell r="D119">
            <v>4607</v>
          </cell>
          <cell r="F119" t="str">
            <v/>
          </cell>
          <cell r="G119">
            <v>0</v>
          </cell>
          <cell r="H119">
            <v>0</v>
          </cell>
          <cell r="I119">
            <v>0</v>
          </cell>
          <cell r="J119">
            <v>0</v>
          </cell>
          <cell r="L119">
            <v>0</v>
          </cell>
          <cell r="M119">
            <v>0</v>
          </cell>
          <cell r="N119">
            <v>0</v>
          </cell>
          <cell r="S119">
            <v>0</v>
          </cell>
          <cell r="T119">
            <v>0</v>
          </cell>
          <cell r="AW119">
            <v>245</v>
          </cell>
          <cell r="AX119">
            <v>241</v>
          </cell>
          <cell r="AY119">
            <v>246</v>
          </cell>
          <cell r="AZ119">
            <v>243</v>
          </cell>
          <cell r="BA119">
            <v>233</v>
          </cell>
          <cell r="BB119">
            <v>0</v>
          </cell>
          <cell r="BC119">
            <v>4238795.8890279643</v>
          </cell>
          <cell r="BD119">
            <v>1208</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I119">
            <v>0</v>
          </cell>
          <cell r="CJ119">
            <v>0</v>
          </cell>
          <cell r="CK119">
            <v>46197.49</v>
          </cell>
          <cell r="CL119">
            <v>19895.45260460423</v>
          </cell>
          <cell r="CM119">
            <v>66092.942604604235</v>
          </cell>
          <cell r="CN119">
            <v>0</v>
          </cell>
          <cell r="CO119">
            <v>0</v>
          </cell>
          <cell r="CP119">
            <v>0</v>
          </cell>
          <cell r="CQ119">
            <v>19805.004945598415</v>
          </cell>
          <cell r="CR119">
            <v>55616.752743692217</v>
          </cell>
          <cell r="CS119">
            <v>56744.321730205753</v>
          </cell>
          <cell r="CT119">
            <v>132166.07941949638</v>
          </cell>
          <cell r="CU119">
            <v>42242.070003889188</v>
          </cell>
          <cell r="CV119">
            <v>0</v>
          </cell>
          <cell r="CW119">
            <v>42242.070003889188</v>
          </cell>
          <cell r="CX119">
            <v>560475.59116377262</v>
          </cell>
          <cell r="CZ119">
            <v>560475.59116377262</v>
          </cell>
          <cell r="DC119">
            <v>0</v>
          </cell>
          <cell r="DD119">
            <v>267003.8330017401</v>
          </cell>
          <cell r="DE119">
            <v>340639.46633446048</v>
          </cell>
          <cell r="DF119">
            <v>62984.498654314935</v>
          </cell>
          <cell r="DG119">
            <v>374874.39156794333</v>
          </cell>
          <cell r="DH119">
            <v>33471.305665310094</v>
          </cell>
          <cell r="DI119">
            <v>1078973.4952237688</v>
          </cell>
          <cell r="DJ119">
            <v>0</v>
          </cell>
          <cell r="DK119">
            <v>27022</v>
          </cell>
          <cell r="DL119">
            <v>66863.405152482504</v>
          </cell>
          <cell r="DM119">
            <v>349775.30324456643</v>
          </cell>
          <cell r="DN119">
            <v>0</v>
          </cell>
          <cell r="DO119">
            <v>0</v>
          </cell>
          <cell r="DP119">
            <v>0</v>
          </cell>
          <cell r="DQ119">
            <v>443660.70839704893</v>
          </cell>
          <cell r="DR119">
            <v>0</v>
          </cell>
          <cell r="DS119">
            <v>0</v>
          </cell>
          <cell r="DT119">
            <v>0</v>
          </cell>
          <cell r="DU119">
            <v>19329.921551105632</v>
          </cell>
          <cell r="DV119">
            <v>0</v>
          </cell>
          <cell r="DW119">
            <v>0</v>
          </cell>
          <cell r="DX119">
            <v>19329.921551105632</v>
          </cell>
          <cell r="DY119">
            <v>49517.917391384479</v>
          </cell>
          <cell r="DZ119">
            <v>7816.5563571498906</v>
          </cell>
          <cell r="EA119">
            <v>0</v>
          </cell>
          <cell r="EB119">
            <v>57334.473748534372</v>
          </cell>
          <cell r="EE119">
            <v>0</v>
          </cell>
          <cell r="EH119">
            <v>0</v>
          </cell>
          <cell r="EI119">
            <v>4360.4693799999995</v>
          </cell>
          <cell r="EK119">
            <v>-237443.52248369143</v>
          </cell>
          <cell r="EL119">
            <v>36560.386976727175</v>
          </cell>
          <cell r="EM119">
            <v>0</v>
          </cell>
          <cell r="EO119">
            <v>-196522.66612696426</v>
          </cell>
          <cell r="EP119">
            <v>0</v>
          </cell>
          <cell r="EQ119">
            <v>0</v>
          </cell>
          <cell r="ER119">
            <v>6442548.50501322</v>
          </cell>
          <cell r="ES119">
            <v>286</v>
          </cell>
          <cell r="ET119">
            <v>1494</v>
          </cell>
          <cell r="EU119">
            <v>4312.2814625255824</v>
          </cell>
          <cell r="EV119" t="str">
            <v>No Variation Applied</v>
          </cell>
          <cell r="EW119">
            <v>212400</v>
          </cell>
          <cell r="EX119">
            <v>0</v>
          </cell>
          <cell r="EY119">
            <v>0</v>
          </cell>
          <cell r="EZ119">
            <v>1556188.5102463106</v>
          </cell>
        </row>
        <row r="120">
          <cell r="C120" t="str">
            <v>da Vinci Community College</v>
          </cell>
          <cell r="D120">
            <v>4608</v>
          </cell>
          <cell r="F120" t="str">
            <v/>
          </cell>
          <cell r="G120">
            <v>0</v>
          </cell>
          <cell r="H120">
            <v>0</v>
          </cell>
          <cell r="I120">
            <v>0</v>
          </cell>
          <cell r="J120">
            <v>0</v>
          </cell>
          <cell r="L120">
            <v>0</v>
          </cell>
          <cell r="M120">
            <v>0</v>
          </cell>
          <cell r="N120">
            <v>0</v>
          </cell>
          <cell r="S120">
            <v>0</v>
          </cell>
          <cell r="T120">
            <v>0</v>
          </cell>
          <cell r="AW120">
            <v>125</v>
          </cell>
          <cell r="AX120">
            <v>129</v>
          </cell>
          <cell r="AY120">
            <v>130</v>
          </cell>
          <cell r="AZ120">
            <v>145</v>
          </cell>
          <cell r="BA120">
            <v>87</v>
          </cell>
          <cell r="BB120">
            <v>0</v>
          </cell>
          <cell r="BC120">
            <v>2156535.0832579779</v>
          </cell>
          <cell r="BD120">
            <v>616</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I120">
            <v>0</v>
          </cell>
          <cell r="CJ120">
            <v>0</v>
          </cell>
          <cell r="CK120">
            <v>19047.96</v>
          </cell>
          <cell r="CL120">
            <v>3874.4383625674836</v>
          </cell>
          <cell r="CM120">
            <v>22922.398362567481</v>
          </cell>
          <cell r="CN120">
            <v>0</v>
          </cell>
          <cell r="CO120">
            <v>0</v>
          </cell>
          <cell r="CP120">
            <v>0</v>
          </cell>
          <cell r="CQ120">
            <v>19805.004945598415</v>
          </cell>
          <cell r="CR120">
            <v>9887.4227099897271</v>
          </cell>
          <cell r="CS120">
            <v>6079.7487568077595</v>
          </cell>
          <cell r="CT120">
            <v>35772.1764123959</v>
          </cell>
          <cell r="CU120">
            <v>41999.299486625467</v>
          </cell>
          <cell r="CV120">
            <v>0</v>
          </cell>
          <cell r="CW120">
            <v>41999.299486625467</v>
          </cell>
          <cell r="CX120">
            <v>0</v>
          </cell>
          <cell r="CZ120">
            <v>0</v>
          </cell>
          <cell r="DC120">
            <v>0</v>
          </cell>
          <cell r="DD120">
            <v>247787.6480508573</v>
          </cell>
          <cell r="DE120">
            <v>201077.82404935636</v>
          </cell>
          <cell r="DF120">
            <v>61327.011847622438</v>
          </cell>
          <cell r="DG120">
            <v>210242.00896954272</v>
          </cell>
          <cell r="DH120">
            <v>22940.27729439408</v>
          </cell>
          <cell r="DI120">
            <v>743374.77021177288</v>
          </cell>
          <cell r="DJ120">
            <v>0</v>
          </cell>
          <cell r="DK120">
            <v>24961</v>
          </cell>
          <cell r="DL120">
            <v>9479.1770722006495</v>
          </cell>
          <cell r="DM120">
            <v>349775.30324456643</v>
          </cell>
          <cell r="DN120">
            <v>0</v>
          </cell>
          <cell r="DO120">
            <v>0</v>
          </cell>
          <cell r="DP120">
            <v>0</v>
          </cell>
          <cell r="DQ120">
            <v>384215.48031676706</v>
          </cell>
          <cell r="DR120">
            <v>19520.89729508699</v>
          </cell>
          <cell r="DS120">
            <v>0</v>
          </cell>
          <cell r="DT120">
            <v>6431.2990378446411</v>
          </cell>
          <cell r="DU120">
            <v>0</v>
          </cell>
          <cell r="DV120">
            <v>0</v>
          </cell>
          <cell r="DW120">
            <v>0</v>
          </cell>
          <cell r="DX120">
            <v>25952.196332931631</v>
          </cell>
          <cell r="DY120">
            <v>46911.711212890565</v>
          </cell>
          <cell r="DZ120">
            <v>3222.8907068302092</v>
          </cell>
          <cell r="EA120">
            <v>51567.545333218455</v>
          </cell>
          <cell r="EB120">
            <v>101702.14725293923</v>
          </cell>
          <cell r="EE120">
            <v>0</v>
          </cell>
          <cell r="EH120">
            <v>0</v>
          </cell>
          <cell r="EI120">
            <v>0</v>
          </cell>
          <cell r="EK120">
            <v>0</v>
          </cell>
          <cell r="EL120">
            <v>52533.509827925474</v>
          </cell>
          <cell r="EM120">
            <v>0</v>
          </cell>
          <cell r="EO120">
            <v>52533.509827925474</v>
          </cell>
          <cell r="EP120">
            <v>171801.3276963071</v>
          </cell>
          <cell r="EQ120">
            <v>0</v>
          </cell>
          <cell r="ER120">
            <v>3736808.3891582103</v>
          </cell>
          <cell r="ES120">
            <v>0</v>
          </cell>
          <cell r="ET120">
            <v>616</v>
          </cell>
          <cell r="EU120">
            <v>6066.2473849970947</v>
          </cell>
          <cell r="EV120" t="str">
            <v>No Variation Applied</v>
          </cell>
          <cell r="EW120">
            <v>201150</v>
          </cell>
          <cell r="EX120">
            <v>0</v>
          </cell>
          <cell r="EY120">
            <v>0</v>
          </cell>
          <cell r="EZ120">
            <v>698090.10432136129</v>
          </cell>
        </row>
        <row r="121">
          <cell r="C121" t="str">
            <v>Merrill College</v>
          </cell>
          <cell r="D121">
            <v>4609</v>
          </cell>
          <cell r="F121" t="str">
            <v/>
          </cell>
          <cell r="G121">
            <v>0</v>
          </cell>
          <cell r="H121">
            <v>0</v>
          </cell>
          <cell r="I121">
            <v>0</v>
          </cell>
          <cell r="J121">
            <v>0</v>
          </cell>
          <cell r="L121">
            <v>0</v>
          </cell>
          <cell r="M121">
            <v>0</v>
          </cell>
          <cell r="N121">
            <v>0</v>
          </cell>
          <cell r="S121">
            <v>0</v>
          </cell>
          <cell r="T121">
            <v>0</v>
          </cell>
          <cell r="AW121">
            <v>158</v>
          </cell>
          <cell r="AX121">
            <v>192</v>
          </cell>
          <cell r="AY121">
            <v>161</v>
          </cell>
          <cell r="AZ121">
            <v>198</v>
          </cell>
          <cell r="BA121">
            <v>167</v>
          </cell>
          <cell r="BB121">
            <v>0</v>
          </cell>
          <cell r="BC121">
            <v>3083011.2296749414</v>
          </cell>
          <cell r="BD121">
            <v>876</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I121">
            <v>0</v>
          </cell>
          <cell r="CJ121">
            <v>16992.951176879946</v>
          </cell>
          <cell r="CK121">
            <v>30365.42</v>
          </cell>
          <cell r="CL121">
            <v>10376.723201434461</v>
          </cell>
          <cell r="CM121">
            <v>57735.094378314403</v>
          </cell>
          <cell r="CN121">
            <v>0</v>
          </cell>
          <cell r="CO121">
            <v>0</v>
          </cell>
          <cell r="CP121">
            <v>0</v>
          </cell>
          <cell r="CQ121">
            <v>19805.004945598415</v>
          </cell>
          <cell r="CR121">
            <v>33782.027592464903</v>
          </cell>
          <cell r="CS121">
            <v>25940.261362379773</v>
          </cell>
          <cell r="CT121">
            <v>79527.293900443095</v>
          </cell>
          <cell r="CU121">
            <v>10196.3617250767</v>
          </cell>
          <cell r="CV121">
            <v>0</v>
          </cell>
          <cell r="CW121">
            <v>10196.3617250767</v>
          </cell>
          <cell r="CX121">
            <v>0</v>
          </cell>
          <cell r="CZ121">
            <v>0</v>
          </cell>
          <cell r="DC121">
            <v>0</v>
          </cell>
          <cell r="DD121">
            <v>396012.15795180411</v>
          </cell>
          <cell r="DE121">
            <v>390908.92234679958</v>
          </cell>
          <cell r="DF121">
            <v>74586.906301162424</v>
          </cell>
          <cell r="DG121">
            <v>427216.55072050309</v>
          </cell>
          <cell r="DH121">
            <v>32318.63275588087</v>
          </cell>
          <cell r="DI121">
            <v>1321043.1700761502</v>
          </cell>
          <cell r="DJ121">
            <v>45826.81</v>
          </cell>
          <cell r="DK121">
            <v>53128</v>
          </cell>
          <cell r="DL121">
            <v>15994.298484057048</v>
          </cell>
          <cell r="DM121">
            <v>349775.30324456643</v>
          </cell>
          <cell r="DN121">
            <v>0</v>
          </cell>
          <cell r="DO121">
            <v>0</v>
          </cell>
          <cell r="DP121">
            <v>0</v>
          </cell>
          <cell r="DQ121">
            <v>464724.41172862344</v>
          </cell>
          <cell r="DR121">
            <v>299230.14711775293</v>
          </cell>
          <cell r="DS121">
            <v>0</v>
          </cell>
          <cell r="DT121">
            <v>13399.965632327978</v>
          </cell>
          <cell r="DU121">
            <v>0</v>
          </cell>
          <cell r="DV121">
            <v>0</v>
          </cell>
          <cell r="DW121">
            <v>0</v>
          </cell>
          <cell r="DX121">
            <v>312630.11275008088</v>
          </cell>
          <cell r="DY121">
            <v>66458.257551594957</v>
          </cell>
          <cell r="DZ121">
            <v>5137.7900553689378</v>
          </cell>
          <cell r="EA121">
            <v>0</v>
          </cell>
          <cell r="EB121">
            <v>71596.047606963897</v>
          </cell>
          <cell r="EE121">
            <v>0</v>
          </cell>
          <cell r="EH121">
            <v>0</v>
          </cell>
          <cell r="EI121">
            <v>2827.5</v>
          </cell>
          <cell r="EK121">
            <v>-168647.36753115282</v>
          </cell>
          <cell r="EL121">
            <v>7198.7159946331112</v>
          </cell>
          <cell r="EM121">
            <v>0</v>
          </cell>
          <cell r="EO121">
            <v>-158621.1515365197</v>
          </cell>
          <cell r="EP121">
            <v>0</v>
          </cell>
          <cell r="EQ121">
            <v>0</v>
          </cell>
          <cell r="ER121">
            <v>5241842.5703040743</v>
          </cell>
          <cell r="ES121">
            <v>106</v>
          </cell>
          <cell r="ET121">
            <v>982</v>
          </cell>
          <cell r="EU121">
            <v>5337.9252243422343</v>
          </cell>
          <cell r="EV121" t="str">
            <v>No Variation Applied</v>
          </cell>
          <cell r="EW121">
            <v>287700</v>
          </cell>
          <cell r="EX121">
            <v>0</v>
          </cell>
          <cell r="EY121">
            <v>0</v>
          </cell>
          <cell r="EZ121">
            <v>1119662.1087118962</v>
          </cell>
        </row>
        <row r="122">
          <cell r="C122" t="str">
            <v>Murray Park Community School</v>
          </cell>
          <cell r="D122">
            <v>5406</v>
          </cell>
          <cell r="F122" t="str">
            <v/>
          </cell>
          <cell r="G122">
            <v>0</v>
          </cell>
          <cell r="H122">
            <v>0</v>
          </cell>
          <cell r="I122">
            <v>0</v>
          </cell>
          <cell r="J122">
            <v>0</v>
          </cell>
          <cell r="L122">
            <v>0</v>
          </cell>
          <cell r="M122">
            <v>0</v>
          </cell>
          <cell r="N122">
            <v>0</v>
          </cell>
          <cell r="S122">
            <v>0</v>
          </cell>
          <cell r="T122">
            <v>0</v>
          </cell>
          <cell r="AW122">
            <v>168</v>
          </cell>
          <cell r="AX122">
            <v>198</v>
          </cell>
          <cell r="AY122">
            <v>187</v>
          </cell>
          <cell r="AZ122">
            <v>214</v>
          </cell>
          <cell r="BA122">
            <v>162</v>
          </cell>
          <cell r="BB122">
            <v>0</v>
          </cell>
          <cell r="BC122">
            <v>3264405.9508682974</v>
          </cell>
          <cell r="BD122">
            <v>929</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I122">
            <v>0</v>
          </cell>
          <cell r="CJ122">
            <v>16075.816337394572</v>
          </cell>
          <cell r="CK122">
            <v>28726.55</v>
          </cell>
          <cell r="CL122">
            <v>10488.300870267092</v>
          </cell>
          <cell r="CM122">
            <v>55290.667207661667</v>
          </cell>
          <cell r="CN122">
            <v>0</v>
          </cell>
          <cell r="CO122">
            <v>0</v>
          </cell>
          <cell r="CP122">
            <v>0</v>
          </cell>
          <cell r="CQ122">
            <v>21328.466864490601</v>
          </cell>
          <cell r="CR122">
            <v>22452.689070601671</v>
          </cell>
          <cell r="CS122">
            <v>18239.246270423278</v>
          </cell>
          <cell r="CT122">
            <v>62020.402205515551</v>
          </cell>
          <cell r="CU122">
            <v>0</v>
          </cell>
          <cell r="CV122">
            <v>0</v>
          </cell>
          <cell r="CW122">
            <v>0</v>
          </cell>
          <cell r="CX122">
            <v>0</v>
          </cell>
          <cell r="CZ122">
            <v>0</v>
          </cell>
          <cell r="DC122">
            <v>0</v>
          </cell>
          <cell r="DD122">
            <v>160079.39815179125</v>
          </cell>
          <cell r="DE122">
            <v>156602.13584860889</v>
          </cell>
          <cell r="DF122">
            <v>49724.604200774949</v>
          </cell>
          <cell r="DG122">
            <v>246464.33295137796</v>
          </cell>
          <cell r="DH122">
            <v>23781.145536977707</v>
          </cell>
          <cell r="DI122">
            <v>636651.61668953067</v>
          </cell>
          <cell r="DJ122">
            <v>27215.42</v>
          </cell>
          <cell r="DK122">
            <v>23358</v>
          </cell>
          <cell r="DL122">
            <v>23541.176456154433</v>
          </cell>
          <cell r="DM122">
            <v>349775.30324456643</v>
          </cell>
          <cell r="DN122">
            <v>0</v>
          </cell>
          <cell r="DO122">
            <v>0</v>
          </cell>
          <cell r="DP122">
            <v>0</v>
          </cell>
          <cell r="DQ122">
            <v>423889.89970072085</v>
          </cell>
          <cell r="DR122">
            <v>0</v>
          </cell>
          <cell r="DS122">
            <v>0</v>
          </cell>
          <cell r="DT122">
            <v>0</v>
          </cell>
          <cell r="DU122">
            <v>0</v>
          </cell>
          <cell r="DV122">
            <v>0</v>
          </cell>
          <cell r="DW122">
            <v>0</v>
          </cell>
          <cell r="DX122">
            <v>0</v>
          </cell>
          <cell r="DY122">
            <v>59942.742105360165</v>
          </cell>
          <cell r="DZ122">
            <v>4860.4958874111435</v>
          </cell>
          <cell r="EA122">
            <v>0</v>
          </cell>
          <cell r="EB122">
            <v>64803.237992771305</v>
          </cell>
          <cell r="EE122">
            <v>0</v>
          </cell>
          <cell r="EH122">
            <v>0</v>
          </cell>
          <cell r="EI122">
            <v>244.75928630136968</v>
          </cell>
          <cell r="EK122">
            <v>0</v>
          </cell>
          <cell r="EL122">
            <v>6180.0373072152761</v>
          </cell>
          <cell r="EM122">
            <v>0</v>
          </cell>
          <cell r="EO122">
            <v>6424.7965935166458</v>
          </cell>
          <cell r="EP122">
            <v>0</v>
          </cell>
          <cell r="EQ122">
            <v>0</v>
          </cell>
          <cell r="ER122">
            <v>4513486.5712580141</v>
          </cell>
          <cell r="ES122">
            <v>0</v>
          </cell>
          <cell r="ET122">
            <v>929</v>
          </cell>
          <cell r="EU122">
            <v>4858.4354911281098</v>
          </cell>
          <cell r="EV122" t="str">
            <v>No Variation Applied</v>
          </cell>
          <cell r="EW122">
            <v>171200</v>
          </cell>
          <cell r="EX122">
            <v>0</v>
          </cell>
          <cell r="EY122">
            <v>0</v>
          </cell>
          <cell r="EZ122">
            <v>639859.82319593255</v>
          </cell>
        </row>
        <row r="123">
          <cell r="C123" t="str">
            <v>Noel-Baker Community School</v>
          </cell>
          <cell r="D123">
            <v>5407</v>
          </cell>
          <cell r="F123" t="str">
            <v/>
          </cell>
          <cell r="G123">
            <v>0</v>
          </cell>
          <cell r="H123">
            <v>0</v>
          </cell>
          <cell r="I123">
            <v>0</v>
          </cell>
          <cell r="J123">
            <v>0</v>
          </cell>
          <cell r="L123">
            <v>0</v>
          </cell>
          <cell r="M123">
            <v>0</v>
          </cell>
          <cell r="N123">
            <v>0</v>
          </cell>
          <cell r="S123">
            <v>0</v>
          </cell>
          <cell r="T123">
            <v>0</v>
          </cell>
          <cell r="AW123">
            <v>208</v>
          </cell>
          <cell r="AX123">
            <v>189</v>
          </cell>
          <cell r="AY123">
            <v>205</v>
          </cell>
          <cell r="AZ123">
            <v>188</v>
          </cell>
          <cell r="BA123">
            <v>210</v>
          </cell>
          <cell r="BB123">
            <v>0</v>
          </cell>
          <cell r="BC123">
            <v>3510771.6379949129</v>
          </cell>
          <cell r="BD123">
            <v>1000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I123">
            <v>0</v>
          </cell>
          <cell r="CJ123">
            <v>19830.877850004497</v>
          </cell>
          <cell r="CK123">
            <v>35436.629999999997</v>
          </cell>
          <cell r="CL123">
            <v>10115.092805551056</v>
          </cell>
          <cell r="CM123">
            <v>65382.60065555555</v>
          </cell>
          <cell r="CN123">
            <v>0</v>
          </cell>
          <cell r="CO123">
            <v>0</v>
          </cell>
          <cell r="CP123">
            <v>0</v>
          </cell>
          <cell r="CQ123">
            <v>10664.233432245301</v>
          </cell>
          <cell r="CR123">
            <v>16479.03784998288</v>
          </cell>
          <cell r="CS123">
            <v>13375.447264977071</v>
          </cell>
          <cell r="CT123">
            <v>40518.718547205252</v>
          </cell>
          <cell r="CU123">
            <v>0</v>
          </cell>
          <cell r="CV123">
            <v>0</v>
          </cell>
          <cell r="CW123">
            <v>0</v>
          </cell>
          <cell r="CX123">
            <v>0</v>
          </cell>
          <cell r="CZ123">
            <v>0</v>
          </cell>
          <cell r="DC123">
            <v>0</v>
          </cell>
          <cell r="DD123">
            <v>264814.64737442433</v>
          </cell>
          <cell r="DE123">
            <v>302979.97555911494</v>
          </cell>
          <cell r="DF123">
            <v>67956.959074392435</v>
          </cell>
          <cell r="DG123">
            <v>364444.08021226159</v>
          </cell>
          <cell r="DH123">
            <v>30492.485640739804</v>
          </cell>
          <cell r="DI123">
            <v>1030688.1478609331</v>
          </cell>
          <cell r="DJ123">
            <v>64348.480000000003</v>
          </cell>
          <cell r="DK123">
            <v>25419</v>
          </cell>
          <cell r="DL123">
            <v>35874.576147641281</v>
          </cell>
          <cell r="DM123">
            <v>349775.30324456643</v>
          </cell>
          <cell r="DN123">
            <v>0</v>
          </cell>
          <cell r="DO123">
            <v>0</v>
          </cell>
          <cell r="DP123">
            <v>0</v>
          </cell>
          <cell r="DQ123">
            <v>475417.3593922077</v>
          </cell>
          <cell r="DR123">
            <v>0</v>
          </cell>
          <cell r="DS123">
            <v>72513</v>
          </cell>
          <cell r="DT123">
            <v>0</v>
          </cell>
          <cell r="DU123">
            <v>8054.133979627346</v>
          </cell>
          <cell r="DV123">
            <v>0</v>
          </cell>
          <cell r="DW123">
            <v>0</v>
          </cell>
          <cell r="DX123">
            <v>80567.133979627339</v>
          </cell>
          <cell r="DY123">
            <v>71670.6699085828</v>
          </cell>
          <cell r="DZ123">
            <v>5995.8323864081494</v>
          </cell>
          <cell r="EA123">
            <v>0</v>
          </cell>
          <cell r="EB123">
            <v>77666.502294990947</v>
          </cell>
          <cell r="EE123">
            <v>0</v>
          </cell>
          <cell r="EH123">
            <v>0</v>
          </cell>
          <cell r="EI123">
            <v>0</v>
          </cell>
          <cell r="EK123">
            <v>-152045.94795780143</v>
          </cell>
          <cell r="EL123">
            <v>9339.6839352030838</v>
          </cell>
          <cell r="EM123">
            <v>0</v>
          </cell>
          <cell r="EO123">
            <v>-142706.26402259833</v>
          </cell>
          <cell r="EP123">
            <v>0</v>
          </cell>
          <cell r="EQ123">
            <v>0</v>
          </cell>
          <cell r="ER123">
            <v>5138305.8367028348</v>
          </cell>
          <cell r="ES123">
            <v>146</v>
          </cell>
          <cell r="ET123">
            <v>1146</v>
          </cell>
          <cell r="EU123">
            <v>4483.6874665818805</v>
          </cell>
          <cell r="EV123" t="str">
            <v>No Variation Applied</v>
          </cell>
          <cell r="EW123">
            <v>227200</v>
          </cell>
          <cell r="EX123">
            <v>0</v>
          </cell>
          <cell r="EY123">
            <v>0</v>
          </cell>
          <cell r="EZ123">
            <v>895709.48182899482</v>
          </cell>
        </row>
        <row r="125">
          <cell r="A125" t="str">
            <v>Middle Deemed Secondary Schools</v>
          </cell>
        </row>
        <row r="126">
          <cell r="L126">
            <v>0</v>
          </cell>
          <cell r="M126">
            <v>0</v>
          </cell>
          <cell r="N126">
            <v>0</v>
          </cell>
          <cell r="S126">
            <v>0</v>
          </cell>
          <cell r="T126">
            <v>0</v>
          </cell>
          <cell r="BC126">
            <v>0</v>
          </cell>
          <cell r="BD126">
            <v>0</v>
          </cell>
          <cell r="CE126">
            <v>0</v>
          </cell>
          <cell r="CM126">
            <v>0</v>
          </cell>
          <cell r="CP126">
            <v>0</v>
          </cell>
          <cell r="CT126">
            <v>0</v>
          </cell>
          <cell r="CW126">
            <v>0</v>
          </cell>
          <cell r="CZ126">
            <v>0</v>
          </cell>
          <cell r="DC126">
            <v>0</v>
          </cell>
          <cell r="DI126">
            <v>0</v>
          </cell>
          <cell r="DQ126">
            <v>0</v>
          </cell>
          <cell r="DX126">
            <v>0</v>
          </cell>
          <cell r="EB126">
            <v>0</v>
          </cell>
          <cell r="EE126">
            <v>0</v>
          </cell>
          <cell r="EH126">
            <v>0</v>
          </cell>
          <cell r="EO126">
            <v>0</v>
          </cell>
          <cell r="EQ126">
            <v>0</v>
          </cell>
          <cell r="ER126">
            <v>0</v>
          </cell>
          <cell r="ET126">
            <v>0</v>
          </cell>
          <cell r="EU126">
            <v>0</v>
          </cell>
        </row>
        <row r="128">
          <cell r="B128" t="str">
            <v>Total/average Secondary Schools</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AM128">
            <v>0</v>
          </cell>
          <cell r="AN128">
            <v>0</v>
          </cell>
          <cell r="AO128">
            <v>0</v>
          </cell>
          <cell r="AP128">
            <v>0</v>
          </cell>
          <cell r="AQ128">
            <v>0</v>
          </cell>
          <cell r="AR128">
            <v>0</v>
          </cell>
          <cell r="AS128">
            <v>0</v>
          </cell>
          <cell r="AT128">
            <v>0</v>
          </cell>
          <cell r="AU128">
            <v>0</v>
          </cell>
          <cell r="AV128">
            <v>0</v>
          </cell>
          <cell r="AW128">
            <v>1689</v>
          </cell>
          <cell r="AX128">
            <v>1808</v>
          </cell>
          <cell r="AY128">
            <v>1784</v>
          </cell>
          <cell r="AZ128">
            <v>1835</v>
          </cell>
          <cell r="BA128">
            <v>1592</v>
          </cell>
          <cell r="BB128">
            <v>0</v>
          </cell>
          <cell r="BC128">
            <v>30553832.235700458</v>
          </cell>
          <cell r="BD128">
            <v>8708</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52899.645364279015</v>
          </cell>
          <cell r="CK128">
            <v>297717.14999999997</v>
          </cell>
          <cell r="CL128">
            <v>103669.4412413735</v>
          </cell>
          <cell r="CM128">
            <v>454286.23660565249</v>
          </cell>
          <cell r="CN128">
            <v>0</v>
          </cell>
          <cell r="CO128">
            <v>0</v>
          </cell>
          <cell r="CP128">
            <v>0</v>
          </cell>
          <cell r="CQ128">
            <v>190432.73986152321</v>
          </cell>
          <cell r="CR128">
            <v>519707.65619383508</v>
          </cell>
          <cell r="CS128">
            <v>431864.82002524455</v>
          </cell>
          <cell r="CT128">
            <v>1142005.2160806027</v>
          </cell>
          <cell r="CU128">
            <v>141777.98208201892</v>
          </cell>
          <cell r="CV128">
            <v>0</v>
          </cell>
          <cell r="CW128">
            <v>141777.98208201892</v>
          </cell>
          <cell r="CX128">
            <v>985381.26657507801</v>
          </cell>
          <cell r="CY128">
            <v>0</v>
          </cell>
          <cell r="CZ128">
            <v>985381.26657507801</v>
          </cell>
          <cell r="DA128">
            <v>0</v>
          </cell>
          <cell r="DB128">
            <v>0</v>
          </cell>
          <cell r="DC128">
            <v>0</v>
          </cell>
          <cell r="DD128">
            <v>2413890.8093663258</v>
          </cell>
          <cell r="DE128">
            <v>2461499.2952482649</v>
          </cell>
          <cell r="DF128">
            <v>518793.37049475207</v>
          </cell>
          <cell r="DG128">
            <v>2907199.1183558581</v>
          </cell>
          <cell r="DH128">
            <v>258568.94297647552</v>
          </cell>
          <cell r="DI128">
            <v>8559951.5364416763</v>
          </cell>
          <cell r="DJ128">
            <v>137390.71</v>
          </cell>
          <cell r="DK128">
            <v>305715</v>
          </cell>
          <cell r="DL128">
            <v>274385.58824652637</v>
          </cell>
          <cell r="DM128">
            <v>3147977.7292010984</v>
          </cell>
          <cell r="DN128">
            <v>0</v>
          </cell>
          <cell r="DO128">
            <v>0</v>
          </cell>
          <cell r="DP128">
            <v>0</v>
          </cell>
          <cell r="DQ128">
            <v>3865469.0274476237</v>
          </cell>
          <cell r="DR128">
            <v>318751.04441283992</v>
          </cell>
          <cell r="DS128">
            <v>72513</v>
          </cell>
          <cell r="DT128">
            <v>19831.264670172619</v>
          </cell>
          <cell r="DU128">
            <v>27384.055530732978</v>
          </cell>
          <cell r="DV128">
            <v>0</v>
          </cell>
          <cell r="DW128">
            <v>0</v>
          </cell>
          <cell r="DX128">
            <v>438479.36461374548</v>
          </cell>
          <cell r="DY128">
            <v>470420.21521815262</v>
          </cell>
          <cell r="DZ128">
            <v>42384.151974077147</v>
          </cell>
          <cell r="EA128">
            <v>76581.653144108001</v>
          </cell>
          <cell r="EB128">
            <v>589386.02033633774</v>
          </cell>
          <cell r="EC128">
            <v>0</v>
          </cell>
          <cell r="ED128">
            <v>0</v>
          </cell>
          <cell r="EE128">
            <v>0</v>
          </cell>
          <cell r="EF128">
            <v>0</v>
          </cell>
          <cell r="EG128">
            <v>0</v>
          </cell>
          <cell r="EH128">
            <v>0</v>
          </cell>
          <cell r="EI128">
            <v>57327.394735136986</v>
          </cell>
          <cell r="EJ128">
            <v>0</v>
          </cell>
          <cell r="EK128">
            <v>-865270.7348074466</v>
          </cell>
          <cell r="EL128">
            <v>182227</v>
          </cell>
          <cell r="EM128">
            <v>13121</v>
          </cell>
          <cell r="EN128">
            <v>0</v>
          </cell>
          <cell r="EO128">
            <v>-612595.3400723096</v>
          </cell>
          <cell r="EP128">
            <v>172550.63467090158</v>
          </cell>
          <cell r="EQ128">
            <v>0</v>
          </cell>
          <cell r="ER128">
            <v>46290524.180481784</v>
          </cell>
          <cell r="ES128">
            <v>920</v>
          </cell>
          <cell r="ET128">
            <v>9628</v>
          </cell>
          <cell r="EU128">
            <v>4807.9065413878052</v>
          </cell>
          <cell r="EW128">
            <v>1887600</v>
          </cell>
          <cell r="EX128">
            <v>0</v>
          </cell>
          <cell r="EY128">
            <v>0</v>
          </cell>
          <cell r="EZ128">
            <v>8987442.5918243062</v>
          </cell>
        </row>
        <row r="130">
          <cell r="A130" t="str">
            <v>Special Schools</v>
          </cell>
        </row>
        <row r="131">
          <cell r="C131" t="str">
            <v>St Martins School</v>
          </cell>
          <cell r="D131">
            <v>7021</v>
          </cell>
          <cell r="F131" t="str">
            <v/>
          </cell>
          <cell r="G131">
            <v>0</v>
          </cell>
          <cell r="H131">
            <v>0</v>
          </cell>
          <cell r="I131">
            <v>0</v>
          </cell>
          <cell r="J131">
            <v>0</v>
          </cell>
          <cell r="L131">
            <v>0</v>
          </cell>
          <cell r="M131">
            <v>0</v>
          </cell>
          <cell r="N131">
            <v>0</v>
          </cell>
          <cell r="S131">
            <v>0</v>
          </cell>
          <cell r="T131">
            <v>0</v>
          </cell>
          <cell r="BE131">
            <v>0</v>
          </cell>
          <cell r="BF131">
            <v>0</v>
          </cell>
          <cell r="BG131">
            <v>21</v>
          </cell>
          <cell r="BH131">
            <v>0</v>
          </cell>
          <cell r="BI131">
            <v>0</v>
          </cell>
          <cell r="BJ131">
            <v>40</v>
          </cell>
          <cell r="BK131">
            <v>0</v>
          </cell>
          <cell r="BL131">
            <v>0</v>
          </cell>
          <cell r="BM131">
            <v>28</v>
          </cell>
          <cell r="BN131">
            <v>0</v>
          </cell>
          <cell r="BO131">
            <v>0</v>
          </cell>
          <cell r="BP131">
            <v>1294926.0161516273</v>
          </cell>
          <cell r="BQ131">
            <v>89</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I131">
            <v>35897</v>
          </cell>
          <cell r="CJ131">
            <v>0</v>
          </cell>
          <cell r="CK131">
            <v>0</v>
          </cell>
          <cell r="CL131">
            <v>473</v>
          </cell>
          <cell r="CM131">
            <v>36370</v>
          </cell>
          <cell r="CN131">
            <v>0</v>
          </cell>
          <cell r="CO131">
            <v>0</v>
          </cell>
          <cell r="CP131">
            <v>0</v>
          </cell>
          <cell r="CQ131">
            <v>0</v>
          </cell>
          <cell r="CR131">
            <v>0</v>
          </cell>
          <cell r="CS131">
            <v>0</v>
          </cell>
          <cell r="CT131">
            <v>0</v>
          </cell>
          <cell r="CU131">
            <v>0</v>
          </cell>
          <cell r="CV131">
            <v>0</v>
          </cell>
          <cell r="CW131">
            <v>0</v>
          </cell>
          <cell r="CX131">
            <v>0</v>
          </cell>
          <cell r="CZ131">
            <v>0</v>
          </cell>
          <cell r="DC131">
            <v>0</v>
          </cell>
          <cell r="DD131">
            <v>0</v>
          </cell>
          <cell r="DE131">
            <v>0</v>
          </cell>
          <cell r="DF131">
            <v>0</v>
          </cell>
          <cell r="DG131">
            <v>0</v>
          </cell>
          <cell r="DH131">
            <v>0</v>
          </cell>
          <cell r="DI131">
            <v>0</v>
          </cell>
          <cell r="DJ131">
            <v>0</v>
          </cell>
          <cell r="DK131">
            <v>0</v>
          </cell>
          <cell r="DL131">
            <v>7008</v>
          </cell>
          <cell r="DM131">
            <v>231249</v>
          </cell>
          <cell r="DN131">
            <v>0</v>
          </cell>
          <cell r="DO131">
            <v>65699</v>
          </cell>
          <cell r="DP131">
            <v>969</v>
          </cell>
          <cell r="DQ131">
            <v>304925</v>
          </cell>
          <cell r="DR131">
            <v>0</v>
          </cell>
          <cell r="DS131">
            <v>11863</v>
          </cell>
          <cell r="DT131">
            <v>0</v>
          </cell>
          <cell r="DU131">
            <v>0</v>
          </cell>
          <cell r="DV131">
            <v>0</v>
          </cell>
          <cell r="DW131">
            <v>0</v>
          </cell>
          <cell r="DX131">
            <v>11863</v>
          </cell>
          <cell r="DY131">
            <v>0</v>
          </cell>
          <cell r="DZ131">
            <v>0</v>
          </cell>
          <cell r="EA131">
            <v>0</v>
          </cell>
          <cell r="EB131">
            <v>0</v>
          </cell>
          <cell r="EE131">
            <v>0</v>
          </cell>
          <cell r="EH131">
            <v>0</v>
          </cell>
          <cell r="EI131">
            <v>0</v>
          </cell>
          <cell r="EK131">
            <v>0</v>
          </cell>
          <cell r="EL131">
            <v>0</v>
          </cell>
          <cell r="EM131">
            <v>23473</v>
          </cell>
          <cell r="EO131">
            <v>23473</v>
          </cell>
          <cell r="EP131">
            <v>0</v>
          </cell>
          <cell r="EQ131">
            <v>0</v>
          </cell>
          <cell r="ER131">
            <v>1671557.0161516273</v>
          </cell>
          <cell r="ES131">
            <v>0</v>
          </cell>
          <cell r="ET131">
            <v>89</v>
          </cell>
          <cell r="EU131">
            <v>18781.539507321653</v>
          </cell>
          <cell r="EV131" t="str">
            <v>No Variation Applied</v>
          </cell>
          <cell r="EW131">
            <v>32650</v>
          </cell>
          <cell r="EX131">
            <v>0</v>
          </cell>
          <cell r="EY131">
            <v>0</v>
          </cell>
          <cell r="EZ131">
            <v>0</v>
          </cell>
        </row>
        <row r="132">
          <cell r="C132" t="str">
            <v>St Giles' School</v>
          </cell>
          <cell r="D132">
            <v>7024</v>
          </cell>
          <cell r="F132" t="str">
            <v/>
          </cell>
          <cell r="G132">
            <v>0</v>
          </cell>
          <cell r="H132">
            <v>0</v>
          </cell>
          <cell r="I132">
            <v>0</v>
          </cell>
          <cell r="J132">
            <v>0</v>
          </cell>
          <cell r="L132">
            <v>0</v>
          </cell>
          <cell r="M132">
            <v>0</v>
          </cell>
          <cell r="N132">
            <v>0</v>
          </cell>
          <cell r="S132">
            <v>0</v>
          </cell>
          <cell r="T132">
            <v>0</v>
          </cell>
          <cell r="BE132">
            <v>0</v>
          </cell>
          <cell r="BF132">
            <v>2</v>
          </cell>
          <cell r="BG132">
            <v>0</v>
          </cell>
          <cell r="BH132">
            <v>21</v>
          </cell>
          <cell r="BI132">
            <v>32</v>
          </cell>
          <cell r="BJ132">
            <v>0</v>
          </cell>
          <cell r="BK132">
            <v>8</v>
          </cell>
          <cell r="BL132">
            <v>29</v>
          </cell>
          <cell r="BM132">
            <v>0</v>
          </cell>
          <cell r="BN132">
            <v>0</v>
          </cell>
          <cell r="BO132">
            <v>0</v>
          </cell>
          <cell r="BP132">
            <v>1355146.2251628153</v>
          </cell>
          <cell r="BQ132">
            <v>92</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I132">
            <v>30579</v>
          </cell>
          <cell r="CJ132">
            <v>0</v>
          </cell>
          <cell r="CK132">
            <v>0</v>
          </cell>
          <cell r="CL132">
            <v>965</v>
          </cell>
          <cell r="CM132">
            <v>31544</v>
          </cell>
          <cell r="CN132">
            <v>0</v>
          </cell>
          <cell r="CO132">
            <v>0</v>
          </cell>
          <cell r="CP132">
            <v>0</v>
          </cell>
          <cell r="CQ132">
            <v>0</v>
          </cell>
          <cell r="CR132">
            <v>0</v>
          </cell>
          <cell r="CS132">
            <v>0</v>
          </cell>
          <cell r="CT132">
            <v>0</v>
          </cell>
          <cell r="CU132">
            <v>0</v>
          </cell>
          <cell r="CV132">
            <v>0</v>
          </cell>
          <cell r="CW132">
            <v>0</v>
          </cell>
          <cell r="CX132">
            <v>0</v>
          </cell>
          <cell r="CZ132">
            <v>0</v>
          </cell>
          <cell r="DC132">
            <v>0</v>
          </cell>
          <cell r="DD132">
            <v>0</v>
          </cell>
          <cell r="DE132">
            <v>0</v>
          </cell>
          <cell r="DF132">
            <v>0</v>
          </cell>
          <cell r="DG132">
            <v>0</v>
          </cell>
          <cell r="DH132">
            <v>0</v>
          </cell>
          <cell r="DI132">
            <v>0</v>
          </cell>
          <cell r="DJ132">
            <v>0</v>
          </cell>
          <cell r="DK132">
            <v>0</v>
          </cell>
          <cell r="DL132">
            <v>4447</v>
          </cell>
          <cell r="DM132">
            <v>230223</v>
          </cell>
          <cell r="DN132">
            <v>0</v>
          </cell>
          <cell r="DO132">
            <v>62536</v>
          </cell>
          <cell r="DP132">
            <v>1088</v>
          </cell>
          <cell r="DQ132">
            <v>298294</v>
          </cell>
          <cell r="DR132">
            <v>0</v>
          </cell>
          <cell r="DS132">
            <v>0</v>
          </cell>
          <cell r="DT132">
            <v>0</v>
          </cell>
          <cell r="DU132">
            <v>0</v>
          </cell>
          <cell r="DV132">
            <v>0</v>
          </cell>
          <cell r="DW132">
            <v>24896</v>
          </cell>
          <cell r="DX132">
            <v>24896</v>
          </cell>
          <cell r="DY132">
            <v>0</v>
          </cell>
          <cell r="DZ132">
            <v>0</v>
          </cell>
          <cell r="EA132">
            <v>0</v>
          </cell>
          <cell r="EB132">
            <v>0</v>
          </cell>
          <cell r="EE132">
            <v>0</v>
          </cell>
          <cell r="EH132">
            <v>0</v>
          </cell>
          <cell r="EI132">
            <v>2695.4603999999999</v>
          </cell>
          <cell r="EK132">
            <v>0</v>
          </cell>
          <cell r="EL132">
            <v>0</v>
          </cell>
          <cell r="EM132">
            <v>51251</v>
          </cell>
          <cell r="EO132">
            <v>53946.460399999996</v>
          </cell>
          <cell r="EP132">
            <v>0</v>
          </cell>
          <cell r="EQ132">
            <v>0</v>
          </cell>
          <cell r="ER132">
            <v>1763826.6855628153</v>
          </cell>
          <cell r="ES132">
            <v>0</v>
          </cell>
          <cell r="ET132">
            <v>92</v>
          </cell>
          <cell r="EU132">
            <v>19172.029190900164</v>
          </cell>
          <cell r="EV132" t="str">
            <v>No Variation Applied</v>
          </cell>
          <cell r="EW132">
            <v>31250</v>
          </cell>
          <cell r="EX132">
            <v>0</v>
          </cell>
          <cell r="EY132">
            <v>0</v>
          </cell>
          <cell r="EZ132">
            <v>0</v>
          </cell>
        </row>
        <row r="133">
          <cell r="C133" t="str">
            <v>St Clare's School</v>
          </cell>
          <cell r="D133">
            <v>7025</v>
          </cell>
          <cell r="F133" t="str">
            <v/>
          </cell>
          <cell r="G133">
            <v>0</v>
          </cell>
          <cell r="H133">
            <v>0</v>
          </cell>
          <cell r="I133">
            <v>0</v>
          </cell>
          <cell r="J133">
            <v>0</v>
          </cell>
          <cell r="L133">
            <v>0</v>
          </cell>
          <cell r="M133">
            <v>0</v>
          </cell>
          <cell r="N133">
            <v>0</v>
          </cell>
          <cell r="S133">
            <v>0</v>
          </cell>
          <cell r="T133">
            <v>0</v>
          </cell>
          <cell r="BE133">
            <v>16</v>
          </cell>
          <cell r="BF133">
            <v>0</v>
          </cell>
          <cell r="BG133">
            <v>62</v>
          </cell>
          <cell r="BH133">
            <v>0</v>
          </cell>
          <cell r="BI133">
            <v>0</v>
          </cell>
          <cell r="BJ133">
            <v>20</v>
          </cell>
          <cell r="BK133">
            <v>0</v>
          </cell>
          <cell r="BL133">
            <v>0</v>
          </cell>
          <cell r="BM133">
            <v>1</v>
          </cell>
          <cell r="BN133">
            <v>0</v>
          </cell>
          <cell r="BO133">
            <v>0</v>
          </cell>
          <cell r="BP133">
            <v>1140584.8458081461</v>
          </cell>
          <cell r="BQ133">
            <v>99</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I133">
            <v>27920</v>
          </cell>
          <cell r="CJ133">
            <v>0</v>
          </cell>
          <cell r="CK133">
            <v>0</v>
          </cell>
          <cell r="CL133">
            <v>1190</v>
          </cell>
          <cell r="CM133">
            <v>29110</v>
          </cell>
          <cell r="CN133">
            <v>0</v>
          </cell>
          <cell r="CO133">
            <v>0</v>
          </cell>
          <cell r="CP133">
            <v>0</v>
          </cell>
          <cell r="CQ133">
            <v>0</v>
          </cell>
          <cell r="CR133">
            <v>0</v>
          </cell>
          <cell r="CS133">
            <v>0</v>
          </cell>
          <cell r="CT133">
            <v>0</v>
          </cell>
          <cell r="CU133">
            <v>0</v>
          </cell>
          <cell r="CV133">
            <v>0</v>
          </cell>
          <cell r="CW133">
            <v>0</v>
          </cell>
          <cell r="CX133">
            <v>0</v>
          </cell>
          <cell r="CZ133">
            <v>0</v>
          </cell>
          <cell r="DC133">
            <v>0</v>
          </cell>
          <cell r="DD133">
            <v>0</v>
          </cell>
          <cell r="DE133">
            <v>0</v>
          </cell>
          <cell r="DF133">
            <v>0</v>
          </cell>
          <cell r="DG133">
            <v>0</v>
          </cell>
          <cell r="DH133">
            <v>0</v>
          </cell>
          <cell r="DI133">
            <v>0</v>
          </cell>
          <cell r="DJ133">
            <v>0</v>
          </cell>
          <cell r="DK133">
            <v>0</v>
          </cell>
          <cell r="DL133">
            <v>3859</v>
          </cell>
          <cell r="DM133">
            <v>231249</v>
          </cell>
          <cell r="DN133">
            <v>0</v>
          </cell>
          <cell r="DO133">
            <v>54271</v>
          </cell>
          <cell r="DP133">
            <v>1452</v>
          </cell>
          <cell r="DQ133">
            <v>290831</v>
          </cell>
          <cell r="DR133">
            <v>0</v>
          </cell>
          <cell r="DS133">
            <v>0</v>
          </cell>
          <cell r="DT133">
            <v>0</v>
          </cell>
          <cell r="DU133">
            <v>0</v>
          </cell>
          <cell r="DV133">
            <v>0</v>
          </cell>
          <cell r="DW133">
            <v>0</v>
          </cell>
          <cell r="DX133">
            <v>0</v>
          </cell>
          <cell r="DY133">
            <v>0</v>
          </cell>
          <cell r="DZ133">
            <v>0</v>
          </cell>
          <cell r="EA133">
            <v>0</v>
          </cell>
          <cell r="EB133">
            <v>0</v>
          </cell>
          <cell r="EE133">
            <v>0</v>
          </cell>
          <cell r="EH133">
            <v>0</v>
          </cell>
          <cell r="EI133">
            <v>0</v>
          </cell>
          <cell r="EK133">
            <v>0</v>
          </cell>
          <cell r="EL133">
            <v>0</v>
          </cell>
          <cell r="EM133">
            <v>21275</v>
          </cell>
          <cell r="EO133">
            <v>21275</v>
          </cell>
          <cell r="EP133">
            <v>0</v>
          </cell>
          <cell r="EQ133">
            <v>0</v>
          </cell>
          <cell r="ER133">
            <v>1481800.8458081461</v>
          </cell>
          <cell r="ES133">
            <v>0</v>
          </cell>
          <cell r="ET133">
            <v>99</v>
          </cell>
          <cell r="EU133">
            <v>14967.685311193394</v>
          </cell>
          <cell r="EV133" t="str">
            <v>No Variation Applied</v>
          </cell>
          <cell r="EW133">
            <v>32900</v>
          </cell>
          <cell r="EX133">
            <v>0</v>
          </cell>
          <cell r="EY133">
            <v>0</v>
          </cell>
          <cell r="EZ133">
            <v>0</v>
          </cell>
        </row>
        <row r="134">
          <cell r="C134" t="str">
            <v>Ivy House School</v>
          </cell>
          <cell r="D134">
            <v>7026</v>
          </cell>
          <cell r="F134" t="str">
            <v/>
          </cell>
          <cell r="G134">
            <v>0</v>
          </cell>
          <cell r="H134">
            <v>0</v>
          </cell>
          <cell r="I134">
            <v>0</v>
          </cell>
          <cell r="J134">
            <v>0</v>
          </cell>
          <cell r="L134">
            <v>0</v>
          </cell>
          <cell r="M134">
            <v>0</v>
          </cell>
          <cell r="N134">
            <v>0</v>
          </cell>
          <cell r="S134">
            <v>0</v>
          </cell>
          <cell r="T134">
            <v>0</v>
          </cell>
          <cell r="BE134">
            <v>0</v>
          </cell>
          <cell r="BF134">
            <v>0</v>
          </cell>
          <cell r="BG134">
            <v>0</v>
          </cell>
          <cell r="BH134">
            <v>2</v>
          </cell>
          <cell r="BI134">
            <v>4</v>
          </cell>
          <cell r="BJ134">
            <v>4</v>
          </cell>
          <cell r="BK134">
            <v>23</v>
          </cell>
          <cell r="BL134">
            <v>16</v>
          </cell>
          <cell r="BM134">
            <v>36</v>
          </cell>
          <cell r="BN134">
            <v>0</v>
          </cell>
          <cell r="BO134">
            <v>0</v>
          </cell>
          <cell r="BP134">
            <v>1481494.503795797</v>
          </cell>
          <cell r="BQ134">
            <v>85</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I134">
            <v>16397</v>
          </cell>
          <cell r="CJ134">
            <v>0</v>
          </cell>
          <cell r="CK134">
            <v>0</v>
          </cell>
          <cell r="CL134">
            <v>1116</v>
          </cell>
          <cell r="CM134">
            <v>17513</v>
          </cell>
          <cell r="CN134">
            <v>0</v>
          </cell>
          <cell r="CO134">
            <v>0</v>
          </cell>
          <cell r="CP134">
            <v>0</v>
          </cell>
          <cell r="CQ134">
            <v>0</v>
          </cell>
          <cell r="CR134">
            <v>0</v>
          </cell>
          <cell r="CS134">
            <v>0</v>
          </cell>
          <cell r="CT134">
            <v>0</v>
          </cell>
          <cell r="CU134">
            <v>0</v>
          </cell>
          <cell r="CV134">
            <v>0</v>
          </cell>
          <cell r="CW134">
            <v>0</v>
          </cell>
          <cell r="CX134">
            <v>0</v>
          </cell>
          <cell r="CZ134">
            <v>0</v>
          </cell>
          <cell r="DC134">
            <v>0</v>
          </cell>
          <cell r="DD134">
            <v>0</v>
          </cell>
          <cell r="DE134">
            <v>0</v>
          </cell>
          <cell r="DF134">
            <v>0</v>
          </cell>
          <cell r="DG134">
            <v>0</v>
          </cell>
          <cell r="DH134">
            <v>0</v>
          </cell>
          <cell r="DI134">
            <v>0</v>
          </cell>
          <cell r="DJ134">
            <v>0</v>
          </cell>
          <cell r="DK134">
            <v>0</v>
          </cell>
          <cell r="DL134">
            <v>4809</v>
          </cell>
          <cell r="DM134">
            <v>255712</v>
          </cell>
          <cell r="DN134">
            <v>0</v>
          </cell>
          <cell r="DO134">
            <v>135253</v>
          </cell>
          <cell r="DP134">
            <v>430</v>
          </cell>
          <cell r="DQ134">
            <v>396204</v>
          </cell>
          <cell r="DR134">
            <v>0</v>
          </cell>
          <cell r="DS134">
            <v>0</v>
          </cell>
          <cell r="DT134">
            <v>0</v>
          </cell>
          <cell r="DU134">
            <v>0</v>
          </cell>
          <cell r="DV134">
            <v>143000</v>
          </cell>
          <cell r="DW134">
            <v>62240</v>
          </cell>
          <cell r="DX134">
            <v>205240</v>
          </cell>
          <cell r="DY134">
            <v>0</v>
          </cell>
          <cell r="DZ134">
            <v>0</v>
          </cell>
          <cell r="EA134">
            <v>0</v>
          </cell>
          <cell r="EB134">
            <v>0</v>
          </cell>
          <cell r="EE134">
            <v>0</v>
          </cell>
          <cell r="EH134">
            <v>0</v>
          </cell>
          <cell r="EI134">
            <v>0</v>
          </cell>
          <cell r="EK134">
            <v>0</v>
          </cell>
          <cell r="EL134">
            <v>0</v>
          </cell>
          <cell r="EM134">
            <v>12941</v>
          </cell>
          <cell r="EO134">
            <v>12941</v>
          </cell>
          <cell r="EP134">
            <v>0</v>
          </cell>
          <cell r="EQ134">
            <v>0</v>
          </cell>
          <cell r="ER134">
            <v>2113392.503795797</v>
          </cell>
          <cell r="ES134">
            <v>0</v>
          </cell>
          <cell r="ET134">
            <v>85</v>
          </cell>
          <cell r="EU134">
            <v>24863.441221127025</v>
          </cell>
          <cell r="EV134" t="str">
            <v>No Variation Applied</v>
          </cell>
          <cell r="EW134">
            <v>10800</v>
          </cell>
          <cell r="EX134">
            <v>0</v>
          </cell>
          <cell r="EY134">
            <v>0</v>
          </cell>
          <cell r="EZ134">
            <v>0</v>
          </cell>
        </row>
        <row r="135">
          <cell r="C135" t="str">
            <v>St Andrew's School</v>
          </cell>
          <cell r="D135">
            <v>7027</v>
          </cell>
          <cell r="F135" t="str">
            <v/>
          </cell>
          <cell r="G135">
            <v>0</v>
          </cell>
          <cell r="H135">
            <v>0</v>
          </cell>
          <cell r="I135">
            <v>0</v>
          </cell>
          <cell r="J135">
            <v>0</v>
          </cell>
          <cell r="L135">
            <v>0</v>
          </cell>
          <cell r="M135">
            <v>0</v>
          </cell>
          <cell r="N135">
            <v>0</v>
          </cell>
          <cell r="S135">
            <v>0</v>
          </cell>
          <cell r="T135">
            <v>0</v>
          </cell>
          <cell r="BE135">
            <v>0</v>
          </cell>
          <cell r="BF135">
            <v>0</v>
          </cell>
          <cell r="BG135">
            <v>6</v>
          </cell>
          <cell r="BH135">
            <v>0</v>
          </cell>
          <cell r="BI135">
            <v>0</v>
          </cell>
          <cell r="BJ135">
            <v>54</v>
          </cell>
          <cell r="BK135">
            <v>0</v>
          </cell>
          <cell r="BL135">
            <v>0</v>
          </cell>
          <cell r="BM135">
            <v>34</v>
          </cell>
          <cell r="BN135">
            <v>17</v>
          </cell>
          <cell r="BO135">
            <v>7</v>
          </cell>
          <cell r="BP135">
            <v>1641880.3754284366</v>
          </cell>
          <cell r="BQ135">
            <v>118</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I135">
            <v>13960</v>
          </cell>
          <cell r="CJ135">
            <v>0</v>
          </cell>
          <cell r="CK135">
            <v>0</v>
          </cell>
          <cell r="CL135">
            <v>1034</v>
          </cell>
          <cell r="CM135">
            <v>14994</v>
          </cell>
          <cell r="CN135">
            <v>0</v>
          </cell>
          <cell r="CO135">
            <v>0</v>
          </cell>
          <cell r="CP135">
            <v>0</v>
          </cell>
          <cell r="CQ135">
            <v>0</v>
          </cell>
          <cell r="CR135">
            <v>0</v>
          </cell>
          <cell r="CS135">
            <v>0</v>
          </cell>
          <cell r="CT135">
            <v>0</v>
          </cell>
          <cell r="CU135">
            <v>0</v>
          </cell>
          <cell r="CV135">
            <v>0</v>
          </cell>
          <cell r="CW135">
            <v>0</v>
          </cell>
          <cell r="CX135">
            <v>0</v>
          </cell>
          <cell r="CZ135">
            <v>0</v>
          </cell>
          <cell r="DC135">
            <v>0</v>
          </cell>
          <cell r="DD135">
            <v>0</v>
          </cell>
          <cell r="DE135">
            <v>0</v>
          </cell>
          <cell r="DF135">
            <v>0</v>
          </cell>
          <cell r="DG135">
            <v>0</v>
          </cell>
          <cell r="DH135">
            <v>0</v>
          </cell>
          <cell r="DI135">
            <v>0</v>
          </cell>
          <cell r="DJ135">
            <v>0</v>
          </cell>
          <cell r="DK135">
            <v>0</v>
          </cell>
          <cell r="DL135">
            <v>6580</v>
          </cell>
          <cell r="DM135">
            <v>291249</v>
          </cell>
          <cell r="DN135">
            <v>144622</v>
          </cell>
          <cell r="DO135">
            <v>138796</v>
          </cell>
          <cell r="DP135">
            <v>768</v>
          </cell>
          <cell r="DQ135">
            <v>582015</v>
          </cell>
          <cell r="DR135">
            <v>0</v>
          </cell>
          <cell r="DS135">
            <v>0</v>
          </cell>
          <cell r="DT135">
            <v>0</v>
          </cell>
          <cell r="DU135">
            <v>0</v>
          </cell>
          <cell r="DV135">
            <v>0</v>
          </cell>
          <cell r="DW135">
            <v>24896</v>
          </cell>
          <cell r="DX135">
            <v>24896</v>
          </cell>
          <cell r="DY135">
            <v>0</v>
          </cell>
          <cell r="DZ135">
            <v>0</v>
          </cell>
          <cell r="EA135">
            <v>0</v>
          </cell>
          <cell r="EB135">
            <v>0</v>
          </cell>
          <cell r="EE135">
            <v>0</v>
          </cell>
          <cell r="EH135">
            <v>0</v>
          </cell>
          <cell r="EI135">
            <v>0</v>
          </cell>
          <cell r="EK135">
            <v>0</v>
          </cell>
          <cell r="EL135">
            <v>0</v>
          </cell>
          <cell r="EM135">
            <v>17888</v>
          </cell>
          <cell r="EO135">
            <v>17888</v>
          </cell>
          <cell r="EP135">
            <v>0</v>
          </cell>
          <cell r="EQ135">
            <v>0</v>
          </cell>
          <cell r="ER135">
            <v>2281673.3754284363</v>
          </cell>
          <cell r="ES135">
            <v>0</v>
          </cell>
          <cell r="ET135">
            <v>118</v>
          </cell>
          <cell r="EU135">
            <v>19336.215046003697</v>
          </cell>
          <cell r="EV135" t="str">
            <v>No Variation Applied</v>
          </cell>
          <cell r="EW135">
            <v>14200</v>
          </cell>
          <cell r="EX135">
            <v>0</v>
          </cell>
          <cell r="EY135">
            <v>0</v>
          </cell>
          <cell r="EZ135">
            <v>0</v>
          </cell>
        </row>
        <row r="136">
          <cell r="C136" t="str">
            <v>Kingsmead School</v>
          </cell>
          <cell r="D136">
            <v>7029</v>
          </cell>
          <cell r="F136" t="str">
            <v/>
          </cell>
          <cell r="G136">
            <v>0</v>
          </cell>
          <cell r="H136">
            <v>0</v>
          </cell>
          <cell r="I136">
            <v>0</v>
          </cell>
          <cell r="J136">
            <v>0</v>
          </cell>
          <cell r="L136">
            <v>0</v>
          </cell>
          <cell r="M136">
            <v>0</v>
          </cell>
          <cell r="N136">
            <v>0</v>
          </cell>
          <cell r="S136">
            <v>0</v>
          </cell>
          <cell r="T136">
            <v>0</v>
          </cell>
          <cell r="BE136">
            <v>0</v>
          </cell>
          <cell r="BF136">
            <v>0</v>
          </cell>
          <cell r="BG136">
            <v>0</v>
          </cell>
          <cell r="BH136">
            <v>0</v>
          </cell>
          <cell r="BI136">
            <v>0</v>
          </cell>
          <cell r="BJ136">
            <v>20</v>
          </cell>
          <cell r="BK136">
            <v>0</v>
          </cell>
          <cell r="BL136">
            <v>0</v>
          </cell>
          <cell r="BM136">
            <v>20</v>
          </cell>
          <cell r="BN136">
            <v>0</v>
          </cell>
          <cell r="BO136">
            <v>0</v>
          </cell>
          <cell r="BP136">
            <v>635871.5455866789</v>
          </cell>
          <cell r="BQ136">
            <v>40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I136">
            <v>10636</v>
          </cell>
          <cell r="CJ136">
            <v>0</v>
          </cell>
          <cell r="CK136">
            <v>0</v>
          </cell>
          <cell r="CL136">
            <v>0</v>
          </cell>
          <cell r="CM136">
            <v>10636</v>
          </cell>
          <cell r="CN136">
            <v>0</v>
          </cell>
          <cell r="CO136">
            <v>0</v>
          </cell>
          <cell r="CP136">
            <v>0</v>
          </cell>
          <cell r="CQ136">
            <v>0</v>
          </cell>
          <cell r="CR136">
            <v>0</v>
          </cell>
          <cell r="CS136">
            <v>0</v>
          </cell>
          <cell r="CT136">
            <v>0</v>
          </cell>
          <cell r="CU136">
            <v>0</v>
          </cell>
          <cell r="CV136">
            <v>0</v>
          </cell>
          <cell r="CW136">
            <v>0</v>
          </cell>
          <cell r="CX136">
            <v>0</v>
          </cell>
          <cell r="CZ136">
            <v>0</v>
          </cell>
          <cell r="DC136">
            <v>0</v>
          </cell>
          <cell r="DD136">
            <v>0</v>
          </cell>
          <cell r="DE136">
            <v>0</v>
          </cell>
          <cell r="DF136">
            <v>0</v>
          </cell>
          <cell r="DG136">
            <v>0</v>
          </cell>
          <cell r="DH136">
            <v>0</v>
          </cell>
          <cell r="DI136">
            <v>0</v>
          </cell>
          <cell r="DJ136">
            <v>0</v>
          </cell>
          <cell r="DK136">
            <v>0</v>
          </cell>
          <cell r="DL136">
            <v>2336</v>
          </cell>
          <cell r="DM136">
            <v>231249</v>
          </cell>
          <cell r="DN136">
            <v>0</v>
          </cell>
          <cell r="DO136">
            <v>119188</v>
          </cell>
          <cell r="DP136">
            <v>196</v>
          </cell>
          <cell r="DQ136">
            <v>352969</v>
          </cell>
          <cell r="DR136">
            <v>0</v>
          </cell>
          <cell r="DS136">
            <v>0</v>
          </cell>
          <cell r="DT136">
            <v>0</v>
          </cell>
          <cell r="DU136">
            <v>0</v>
          </cell>
          <cell r="DV136">
            <v>0</v>
          </cell>
          <cell r="DW136">
            <v>0</v>
          </cell>
          <cell r="DX136">
            <v>0</v>
          </cell>
          <cell r="DY136">
            <v>0</v>
          </cell>
          <cell r="DZ136">
            <v>0</v>
          </cell>
          <cell r="EA136">
            <v>0</v>
          </cell>
          <cell r="EB136">
            <v>0</v>
          </cell>
          <cell r="EE136">
            <v>0</v>
          </cell>
          <cell r="EH136">
            <v>0</v>
          </cell>
          <cell r="EI136">
            <v>0</v>
          </cell>
          <cell r="EK136">
            <v>0</v>
          </cell>
          <cell r="EL136">
            <v>0</v>
          </cell>
          <cell r="EM136">
            <v>1175876.9801444886</v>
          </cell>
          <cell r="EO136">
            <v>1175876.9801444886</v>
          </cell>
          <cell r="EP136">
            <v>0</v>
          </cell>
          <cell r="EQ136">
            <v>0</v>
          </cell>
          <cell r="ER136">
            <v>2175353.5257311678</v>
          </cell>
          <cell r="ES136">
            <v>0</v>
          </cell>
          <cell r="ET136">
            <v>40</v>
          </cell>
          <cell r="EU136">
            <v>54383.838143279194</v>
          </cell>
          <cell r="EV136" t="str">
            <v>No Variation Applied</v>
          </cell>
          <cell r="EW136">
            <v>14050</v>
          </cell>
          <cell r="EX136">
            <v>0</v>
          </cell>
          <cell r="EY136">
            <v>0</v>
          </cell>
          <cell r="EZ136">
            <v>0</v>
          </cell>
        </row>
        <row r="138">
          <cell r="B138" t="str">
            <v>Total/average Special Schools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BE138">
            <v>16</v>
          </cell>
          <cell r="BF138">
            <v>2</v>
          </cell>
          <cell r="BG138">
            <v>89</v>
          </cell>
          <cell r="BH138">
            <v>23</v>
          </cell>
          <cell r="BI138">
            <v>36</v>
          </cell>
          <cell r="BJ138">
            <v>138</v>
          </cell>
          <cell r="BK138">
            <v>31</v>
          </cell>
          <cell r="BL138">
            <v>45</v>
          </cell>
          <cell r="BM138">
            <v>119</v>
          </cell>
          <cell r="BN138">
            <v>17</v>
          </cell>
          <cell r="BO138">
            <v>7</v>
          </cell>
          <cell r="BP138">
            <v>7549903.5119335018</v>
          </cell>
          <cell r="BQ138">
            <v>523</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135389</v>
          </cell>
          <cell r="CJ138">
            <v>0</v>
          </cell>
          <cell r="CK138">
            <v>0</v>
          </cell>
          <cell r="CL138">
            <v>4778</v>
          </cell>
          <cell r="CM138">
            <v>140167</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29039</v>
          </cell>
          <cell r="DM138">
            <v>1470931</v>
          </cell>
          <cell r="DN138">
            <v>144622</v>
          </cell>
          <cell r="DO138">
            <v>575743</v>
          </cell>
          <cell r="DP138">
            <v>4903</v>
          </cell>
          <cell r="DQ138">
            <v>2225238</v>
          </cell>
          <cell r="DR138">
            <v>0</v>
          </cell>
          <cell r="DS138">
            <v>11863</v>
          </cell>
          <cell r="DT138">
            <v>0</v>
          </cell>
          <cell r="DU138">
            <v>0</v>
          </cell>
          <cell r="DV138">
            <v>143000</v>
          </cell>
          <cell r="DW138">
            <v>112032</v>
          </cell>
          <cell r="DX138">
            <v>266895</v>
          </cell>
          <cell r="DY138">
            <v>0</v>
          </cell>
          <cell r="DZ138">
            <v>0</v>
          </cell>
          <cell r="EA138">
            <v>0</v>
          </cell>
          <cell r="EB138">
            <v>0</v>
          </cell>
          <cell r="EC138">
            <v>0</v>
          </cell>
          <cell r="ED138">
            <v>0</v>
          </cell>
          <cell r="EE138">
            <v>0</v>
          </cell>
          <cell r="EF138">
            <v>0</v>
          </cell>
          <cell r="EG138">
            <v>0</v>
          </cell>
          <cell r="EH138">
            <v>0</v>
          </cell>
          <cell r="EI138">
            <v>2695.4603999999999</v>
          </cell>
          <cell r="EJ138">
            <v>0</v>
          </cell>
          <cell r="EK138">
            <v>0</v>
          </cell>
          <cell r="EL138">
            <v>0</v>
          </cell>
          <cell r="EM138">
            <v>1302704.9801444886</v>
          </cell>
          <cell r="EN138">
            <v>0</v>
          </cell>
          <cell r="EO138">
            <v>1305400.4405444886</v>
          </cell>
          <cell r="EP138">
            <v>0</v>
          </cell>
          <cell r="EQ138">
            <v>0</v>
          </cell>
          <cell r="ER138">
            <v>11487603.95247799</v>
          </cell>
          <cell r="ES138">
            <v>0</v>
          </cell>
          <cell r="ET138">
            <v>523</v>
          </cell>
          <cell r="EU138">
            <v>21964.825912959826</v>
          </cell>
          <cell r="EW138">
            <v>135850</v>
          </cell>
          <cell r="EX138">
            <v>0</v>
          </cell>
          <cell r="EY138">
            <v>0</v>
          </cell>
          <cell r="EZ138">
            <v>0</v>
          </cell>
        </row>
        <row r="140">
          <cell r="B140" t="str">
            <v>Total All Schools</v>
          </cell>
          <cell r="G140">
            <v>310992</v>
          </cell>
          <cell r="H140">
            <v>1151748</v>
          </cell>
          <cell r="I140">
            <v>0</v>
          </cell>
          <cell r="J140">
            <v>0</v>
          </cell>
          <cell r="K140">
            <v>0</v>
          </cell>
          <cell r="L140">
            <v>5923748.0660770079</v>
          </cell>
          <cell r="M140">
            <v>1462740</v>
          </cell>
          <cell r="N140">
            <v>1539.7263157894736</v>
          </cell>
          <cell r="O140">
            <v>0</v>
          </cell>
          <cell r="P140">
            <v>0</v>
          </cell>
          <cell r="Q140">
            <v>0</v>
          </cell>
          <cell r="R140">
            <v>0</v>
          </cell>
          <cell r="S140">
            <v>0</v>
          </cell>
          <cell r="T140">
            <v>0</v>
          </cell>
          <cell r="U140">
            <v>3073</v>
          </cell>
          <cell r="V140">
            <v>0</v>
          </cell>
          <cell r="W140">
            <v>0</v>
          </cell>
          <cell r="X140">
            <v>0</v>
          </cell>
          <cell r="Y140">
            <v>2984</v>
          </cell>
          <cell r="Z140">
            <v>2902</v>
          </cell>
          <cell r="AA140">
            <v>2904</v>
          </cell>
          <cell r="AB140">
            <v>2754</v>
          </cell>
          <cell r="AC140">
            <v>2703</v>
          </cell>
          <cell r="AD140">
            <v>2705</v>
          </cell>
          <cell r="AE140">
            <v>0</v>
          </cell>
          <cell r="AF140">
            <v>0</v>
          </cell>
          <cell r="AG140">
            <v>0</v>
          </cell>
          <cell r="AH140">
            <v>0</v>
          </cell>
          <cell r="AI140">
            <v>0</v>
          </cell>
          <cell r="AJ140">
            <v>0</v>
          </cell>
          <cell r="AK140">
            <v>51787081.491367385</v>
          </cell>
          <cell r="AL140">
            <v>20025</v>
          </cell>
          <cell r="AM140">
            <v>0</v>
          </cell>
          <cell r="AN140">
            <v>0</v>
          </cell>
          <cell r="AO140">
            <v>0</v>
          </cell>
          <cell r="AP140">
            <v>0</v>
          </cell>
          <cell r="AQ140">
            <v>0</v>
          </cell>
          <cell r="AR140">
            <v>0</v>
          </cell>
          <cell r="AS140">
            <v>0</v>
          </cell>
          <cell r="AT140">
            <v>0</v>
          </cell>
          <cell r="AU140">
            <v>0</v>
          </cell>
          <cell r="AV140">
            <v>0</v>
          </cell>
          <cell r="AW140">
            <v>1689</v>
          </cell>
          <cell r="AX140">
            <v>1808</v>
          </cell>
          <cell r="AY140">
            <v>1784</v>
          </cell>
          <cell r="AZ140">
            <v>1835</v>
          </cell>
          <cell r="BA140">
            <v>1592</v>
          </cell>
          <cell r="BB140">
            <v>0</v>
          </cell>
          <cell r="BC140">
            <v>30553832.235700458</v>
          </cell>
          <cell r="BD140">
            <v>8708</v>
          </cell>
          <cell r="BE140">
            <v>16</v>
          </cell>
          <cell r="BF140">
            <v>2</v>
          </cell>
          <cell r="BG140">
            <v>89</v>
          </cell>
          <cell r="BH140">
            <v>23</v>
          </cell>
          <cell r="BI140">
            <v>36</v>
          </cell>
          <cell r="BJ140">
            <v>138</v>
          </cell>
          <cell r="BK140">
            <v>31</v>
          </cell>
          <cell r="BL140">
            <v>45</v>
          </cell>
          <cell r="BM140">
            <v>119</v>
          </cell>
          <cell r="BN140">
            <v>17</v>
          </cell>
          <cell r="BO140">
            <v>7</v>
          </cell>
          <cell r="BP140">
            <v>7549903.5119335018</v>
          </cell>
          <cell r="BQ140">
            <v>523</v>
          </cell>
          <cell r="BS140">
            <v>525700.08639999991</v>
          </cell>
          <cell r="BT140">
            <v>380000</v>
          </cell>
          <cell r="BU140">
            <v>69252.096799999999</v>
          </cell>
          <cell r="BV140">
            <v>18646</v>
          </cell>
          <cell r="BW140">
            <v>32073.469999999998</v>
          </cell>
          <cell r="BX140">
            <v>-34918.406751157832</v>
          </cell>
          <cell r="BY140">
            <v>70626.164628171973</v>
          </cell>
          <cell r="BZ140">
            <v>108415.77839999998</v>
          </cell>
          <cell r="CA140">
            <v>0</v>
          </cell>
          <cell r="CB140">
            <v>168619.43578717971</v>
          </cell>
          <cell r="CC140">
            <v>241368.7043117237</v>
          </cell>
          <cell r="CD140">
            <v>8840.6951250000002</v>
          </cell>
          <cell r="CE140">
            <v>1588624.0247009173</v>
          </cell>
          <cell r="CF140">
            <v>1338156.0566722197</v>
          </cell>
          <cell r="CG140">
            <v>0</v>
          </cell>
          <cell r="CH140">
            <v>0</v>
          </cell>
          <cell r="CI140">
            <v>135389</v>
          </cell>
          <cell r="CJ140">
            <v>77991.075364279008</v>
          </cell>
          <cell r="CK140">
            <v>704164.51000000013</v>
          </cell>
          <cell r="CL140">
            <v>332755.74815123453</v>
          </cell>
          <cell r="CM140">
            <v>2588456.3901877329</v>
          </cell>
          <cell r="CN140">
            <v>0</v>
          </cell>
          <cell r="CO140">
            <v>0</v>
          </cell>
          <cell r="CP140">
            <v>0</v>
          </cell>
          <cell r="CQ140">
            <v>732023.45202769502</v>
          </cell>
          <cell r="CR140">
            <v>1306309.7961938349</v>
          </cell>
          <cell r="CS140">
            <v>1247683.015255877</v>
          </cell>
          <cell r="CT140">
            <v>3286016.2634774065</v>
          </cell>
          <cell r="CU140">
            <v>759243.86929189134</v>
          </cell>
          <cell r="CV140">
            <v>72077.730024498669</v>
          </cell>
          <cell r="CW140">
            <v>831321.59931638977</v>
          </cell>
          <cell r="CX140">
            <v>3338877.434602343</v>
          </cell>
          <cell r="CY140">
            <v>0</v>
          </cell>
          <cell r="CZ140">
            <v>3338877.434602343</v>
          </cell>
          <cell r="DA140">
            <v>0</v>
          </cell>
          <cell r="DB140">
            <v>0</v>
          </cell>
          <cell r="DC140">
            <v>0</v>
          </cell>
          <cell r="DD140">
            <v>9055920.5484434441</v>
          </cell>
          <cell r="DE140">
            <v>8701755.2952482682</v>
          </cell>
          <cell r="DF140">
            <v>1058147.3480889015</v>
          </cell>
          <cell r="DG140">
            <v>2907199.1183558581</v>
          </cell>
          <cell r="DH140">
            <v>258568.94297647552</v>
          </cell>
          <cell r="DI140">
            <v>21981591.253112942</v>
          </cell>
          <cell r="DJ140">
            <v>166226.03999999998</v>
          </cell>
          <cell r="DK140">
            <v>1409617.7400000002</v>
          </cell>
          <cell r="DL140">
            <v>688465.21824652655</v>
          </cell>
          <cell r="DM140">
            <v>9710687.3305611014</v>
          </cell>
          <cell r="DN140">
            <v>144622</v>
          </cell>
          <cell r="DO140">
            <v>575743</v>
          </cell>
          <cell r="DP140">
            <v>4903</v>
          </cell>
          <cell r="DQ140">
            <v>12700264.32880763</v>
          </cell>
          <cell r="DR140">
            <v>587589.42528291629</v>
          </cell>
          <cell r="DS140">
            <v>84376</v>
          </cell>
          <cell r="DT140">
            <v>50936.109413244609</v>
          </cell>
          <cell r="DU140">
            <v>27384.055530732978</v>
          </cell>
          <cell r="DV140">
            <v>143000</v>
          </cell>
          <cell r="DW140">
            <v>112032</v>
          </cell>
          <cell r="DX140">
            <v>1005317.5902268939</v>
          </cell>
          <cell r="DY140">
            <v>877266.22579708369</v>
          </cell>
          <cell r="DZ140">
            <v>57749.274655992398</v>
          </cell>
          <cell r="EA140">
            <v>108895.07166036067</v>
          </cell>
          <cell r="EB140">
            <v>1043910.5721134368</v>
          </cell>
          <cell r="EC140">
            <v>0</v>
          </cell>
          <cell r="ED140">
            <v>0</v>
          </cell>
          <cell r="EE140">
            <v>0</v>
          </cell>
          <cell r="EF140">
            <v>0</v>
          </cell>
          <cell r="EG140">
            <v>0</v>
          </cell>
          <cell r="EH140">
            <v>0</v>
          </cell>
          <cell r="EI140">
            <v>133255.43587513699</v>
          </cell>
          <cell r="EJ140">
            <v>0</v>
          </cell>
          <cell r="EK140">
            <v>-865270.7348074466</v>
          </cell>
          <cell r="EL140">
            <v>494736</v>
          </cell>
          <cell r="EM140">
            <v>1338009.9801444886</v>
          </cell>
          <cell r="EN140">
            <v>0</v>
          </cell>
          <cell r="EO140">
            <v>1100730.6812121789</v>
          </cell>
          <cell r="EP140">
            <v>1163273.1498149754</v>
          </cell>
          <cell r="EQ140">
            <v>7512372.090777928</v>
          </cell>
          <cell r="ER140">
            <v>146442948.59265122</v>
          </cell>
          <cell r="ES140">
            <v>920</v>
          </cell>
          <cell r="ET140">
            <v>31715.726315789474</v>
          </cell>
          <cell r="EU140">
            <v>4617.3607104102648</v>
          </cell>
          <cell r="EW140">
            <v>5665150</v>
          </cell>
          <cell r="EX140">
            <v>0</v>
          </cell>
          <cell r="EY140">
            <v>0</v>
          </cell>
          <cell r="EZ140">
            <v>22203745.256624341</v>
          </cell>
        </row>
        <row r="143">
          <cell r="B143" t="str">
            <v>Memorandum items</v>
          </cell>
        </row>
        <row r="145">
          <cell r="B145" t="str">
            <v>Academy Funding for SEN pupils that would normally be delegated</v>
          </cell>
          <cell r="CZ145">
            <v>132989.68935707182</v>
          </cell>
        </row>
        <row r="147">
          <cell r="B147" t="str">
            <v>Pupil premium allocated to schools</v>
          </cell>
          <cell r="EW147">
            <v>5665150</v>
          </cell>
        </row>
        <row r="149">
          <cell r="B149" t="str">
            <v>Unallocated pupil premium </v>
          </cell>
          <cell r="EW149">
            <v>128350</v>
          </cell>
        </row>
        <row r="151">
          <cell r="B151" t="str">
            <v>Total pupil premium</v>
          </cell>
          <cell r="EW151">
            <v>5793500</v>
          </cell>
        </row>
        <row r="153">
          <cell r="B153" t="str">
            <v>Unallocated Threshold and performance pay</v>
          </cell>
          <cell r="EX153">
            <v>0</v>
          </cell>
        </row>
        <row r="155">
          <cell r="B155" t="str">
            <v>Total Threshold and performance pay</v>
          </cell>
          <cell r="EX155">
            <v>0</v>
          </cell>
        </row>
        <row r="157">
          <cell r="B157" t="str">
            <v>Unallocated funding to support schools in financial difficulties</v>
          </cell>
          <cell r="EY157">
            <v>150000</v>
          </cell>
        </row>
        <row r="159">
          <cell r="B159" t="str">
            <v>Total funding for schools in financial difficulties</v>
          </cell>
          <cell r="EY159">
            <v>150000</v>
          </cell>
        </row>
        <row r="170">
          <cell r="A170" t="str">
            <v>TABLE  Notes</v>
          </cell>
        </row>
        <row r="171">
          <cell r="A171" t="str">
            <v>Note that the information you provide in this section will be taken into account when returned to DfE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by type"/>
      <sheetName val="Summary- by group"/>
      <sheetName val="Soulbury"/>
      <sheetName val="TchS Staff-core serv EDB18"/>
      <sheetName val="TchSf-PRUks1-2 EDB08"/>
      <sheetName val="Tchs Staff -PRUks3 edb06"/>
      <sheetName val="TchS Staff -PRUks4 EDB15"/>
      <sheetName val="Tchs EDB16 -Prim ss"/>
      <sheetName val="TchS Staff -Sec SS EDB17"/>
      <sheetName val="Admin EDB09-EDB18"/>
      <sheetName val=" ECO core service EDB18"/>
      <sheetName val="ECO Pru ks1-2 EDB08"/>
      <sheetName val="ECO Pru ks3 EDB06"/>
      <sheetName val="ECO Pru ks4 EDB15"/>
      <sheetName val=" ECO PRIM SSrvice EDB16"/>
      <sheetName val="not used"/>
      <sheetName val="Non Staffing"/>
      <sheetName val="Pupil Numbers"/>
      <sheetName val="Pay Scales"/>
      <sheetName val="Printing"/>
      <sheetName val="Budget Plan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calculator - One to Use"/>
      <sheetName val="Calculator - for checking only"/>
      <sheetName val="Calculator"/>
      <sheetName val="0708"/>
      <sheetName val="Numbers"/>
      <sheetName val="Rates"/>
      <sheetName val="Nightingale"/>
    </sheetNames>
    <sheetDataSet>
      <sheetData sheetId="0" refreshError="1"/>
      <sheetData sheetId="1" refreshError="1"/>
      <sheetData sheetId="2" refreshError="1"/>
      <sheetData sheetId="3" refreshError="1"/>
      <sheetData sheetId="4" refreshError="1"/>
      <sheetData sheetId="5" refreshError="1">
        <row r="4">
          <cell r="A4" t="str">
            <v>Nursery</v>
          </cell>
        </row>
        <row r="5">
          <cell r="A5" t="str">
            <v>Primary</v>
          </cell>
        </row>
        <row r="6">
          <cell r="A6" t="str">
            <v>Secondary</v>
          </cell>
        </row>
        <row r="7">
          <cell r="A7" t="str">
            <v>Special</v>
          </cell>
        </row>
        <row r="8">
          <cell r="A8" t="str">
            <v>PRU</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Y703"/>
  <sheetViews>
    <sheetView tabSelected="1" zoomScale="70" zoomScaleNormal="70" zoomScaleSheetLayoutView="70" workbookViewId="0">
      <pane xSplit="1" ySplit="5" topLeftCell="B105" activePane="bottomRight" state="frozen"/>
      <selection pane="topRight" activeCell="B1" sqref="B1"/>
      <selection pane="bottomLeft" activeCell="A6" sqref="A6"/>
      <selection pane="bottomRight" activeCell="B5" sqref="B5:D5"/>
    </sheetView>
  </sheetViews>
  <sheetFormatPr defaultRowHeight="12.75" x14ac:dyDescent="0.2"/>
  <cols>
    <col min="1" max="1" width="9.140625" style="160"/>
    <col min="2" max="2" width="62.5703125" style="160" customWidth="1"/>
    <col min="3" max="3" width="35" style="160" customWidth="1"/>
    <col min="4" max="4" width="14.28515625" style="160" customWidth="1"/>
    <col min="5" max="6" width="16.42578125" style="160" customWidth="1"/>
    <col min="7" max="7" width="16.5703125" style="160" customWidth="1"/>
    <col min="8" max="10" width="20.85546875" style="395" customWidth="1"/>
    <col min="11" max="11" width="12.7109375" style="159" hidden="1" customWidth="1"/>
    <col min="12" max="12" width="13.85546875" style="159" hidden="1" customWidth="1"/>
    <col min="13" max="13" width="12.140625" style="159" hidden="1" customWidth="1"/>
    <col min="14" max="14" width="11.28515625" style="159" hidden="1" customWidth="1"/>
    <col min="15" max="15" width="9.140625" style="159" hidden="1" customWidth="1"/>
    <col min="16" max="16" width="10.140625" style="159" hidden="1" customWidth="1"/>
    <col min="17" max="17" width="14.5703125" style="159" hidden="1" customWidth="1"/>
    <col min="18" max="18" width="14.5703125" style="160" hidden="1" customWidth="1"/>
    <col min="19" max="25" width="9.140625" style="160" hidden="1" customWidth="1"/>
    <col min="26" max="16384" width="9.140625" style="160"/>
  </cols>
  <sheetData>
    <row r="1" spans="2:22" ht="21" customHeight="1" x14ac:dyDescent="0.25">
      <c r="B1" s="155"/>
      <c r="C1" s="1275" t="s">
        <v>608</v>
      </c>
      <c r="D1" s="1275"/>
      <c r="E1" s="1275"/>
      <c r="F1" s="1275"/>
      <c r="G1" s="156"/>
      <c r="H1" s="157"/>
      <c r="I1" s="158"/>
      <c r="J1" s="158"/>
    </row>
    <row r="2" spans="2:22" ht="21" customHeight="1" x14ac:dyDescent="0.25">
      <c r="B2" s="161"/>
      <c r="C2" s="1138"/>
      <c r="D2" s="1138"/>
      <c r="E2" s="1138"/>
      <c r="F2" s="162"/>
      <c r="G2" s="162"/>
      <c r="H2" s="163"/>
      <c r="I2" s="158"/>
      <c r="J2" s="158"/>
    </row>
    <row r="3" spans="2:22" ht="15" customHeight="1" thickBot="1" x14ac:dyDescent="0.3">
      <c r="B3" s="161"/>
      <c r="C3" s="164"/>
      <c r="D3" s="164"/>
      <c r="E3" s="164"/>
      <c r="F3" s="162"/>
      <c r="G3" s="162"/>
      <c r="H3" s="163"/>
      <c r="I3" s="158"/>
      <c r="J3" s="158"/>
      <c r="K3" s="165"/>
      <c r="L3" s="166">
        <f>VLOOKUP(B5,'School &amp; Nursery Setting Lookup'!A:E,5,FALSE)</f>
        <v>0</v>
      </c>
    </row>
    <row r="4" spans="2:22" ht="39.75" customHeight="1" thickBot="1" x14ac:dyDescent="0.3">
      <c r="B4" s="1277" t="s">
        <v>586</v>
      </c>
      <c r="C4" s="1278"/>
      <c r="D4" s="1279"/>
      <c r="E4" s="167"/>
      <c r="F4" s="168" t="s">
        <v>490</v>
      </c>
      <c r="G4" s="167"/>
      <c r="H4" s="169" t="s">
        <v>201</v>
      </c>
      <c r="I4" s="170"/>
      <c r="J4" s="170"/>
      <c r="L4" s="166"/>
    </row>
    <row r="5" spans="2:22" ht="27" customHeight="1" thickBot="1" x14ac:dyDescent="0.3">
      <c r="B5" s="1287" t="s">
        <v>516</v>
      </c>
      <c r="C5" s="1288"/>
      <c r="D5" s="1289"/>
      <c r="E5" s="171"/>
      <c r="F5" s="172">
        <f>VLOOKUP(B5,'School &amp; Nursery Setting Lookup'!A:D,3,FALSE)</f>
        <v>12345</v>
      </c>
      <c r="G5" s="167"/>
      <c r="H5" s="173">
        <f>VLOOKUP($B$5,'School &amp; Nursery Setting Lookup'!$A:$D,4,FALSE)</f>
        <v>0</v>
      </c>
      <c r="I5" s="174"/>
      <c r="J5" s="170"/>
      <c r="L5" s="166"/>
    </row>
    <row r="6" spans="2:22" ht="27" customHeight="1" x14ac:dyDescent="0.25">
      <c r="B6" s="175"/>
      <c r="C6" s="1280"/>
      <c r="D6" s="1280"/>
      <c r="E6" s="1280"/>
      <c r="F6" s="171"/>
      <c r="G6" s="171"/>
      <c r="H6" s="176"/>
      <c r="I6" s="174"/>
      <c r="J6" s="170"/>
      <c r="L6" s="166"/>
    </row>
    <row r="7" spans="2:22" ht="27" customHeight="1" x14ac:dyDescent="0.25">
      <c r="B7" s="177"/>
      <c r="C7" s="1271" t="s">
        <v>612</v>
      </c>
      <c r="D7" s="1271"/>
      <c r="E7" s="1271"/>
      <c r="F7" s="171"/>
      <c r="G7" s="171"/>
      <c r="H7" s="176"/>
      <c r="I7" s="174"/>
      <c r="J7" s="170"/>
      <c r="L7" s="166"/>
    </row>
    <row r="8" spans="2:22" ht="13.5" customHeight="1" x14ac:dyDescent="0.25">
      <c r="B8" s="177"/>
      <c r="C8" s="1271"/>
      <c r="D8" s="1271"/>
      <c r="E8" s="1271"/>
      <c r="F8" s="171"/>
      <c r="G8" s="171"/>
      <c r="H8" s="176"/>
      <c r="I8" s="171"/>
      <c r="J8" s="170"/>
      <c r="L8" s="166"/>
    </row>
    <row r="9" spans="2:22" ht="27" customHeight="1" thickBot="1" x14ac:dyDescent="0.3">
      <c r="B9" s="175"/>
      <c r="C9" s="1138"/>
      <c r="D9" s="1138"/>
      <c r="E9" s="1138"/>
      <c r="F9" s="171"/>
      <c r="G9" s="171"/>
      <c r="H9" s="178"/>
      <c r="I9" s="171"/>
      <c r="J9" s="170"/>
      <c r="L9" s="166"/>
    </row>
    <row r="10" spans="2:22" ht="47.25" customHeight="1" thickBot="1" x14ac:dyDescent="0.3">
      <c r="B10" s="1290" t="s">
        <v>491</v>
      </c>
      <c r="C10" s="1291"/>
      <c r="D10" s="179" t="s">
        <v>492</v>
      </c>
      <c r="E10" s="180" t="s">
        <v>609</v>
      </c>
      <c r="F10" s="180" t="s">
        <v>610</v>
      </c>
      <c r="G10" s="180" t="s">
        <v>611</v>
      </c>
      <c r="H10" s="181" t="s">
        <v>494</v>
      </c>
      <c r="I10" s="182"/>
      <c r="J10" s="797"/>
      <c r="L10" s="183"/>
      <c r="M10" s="183"/>
      <c r="N10" s="183"/>
    </row>
    <row r="11" spans="2:22" ht="35.1" customHeight="1" x14ac:dyDescent="0.25">
      <c r="B11" s="184" t="s">
        <v>579</v>
      </c>
      <c r="C11" s="185">
        <v>3.638299657884593</v>
      </c>
      <c r="D11" s="1292" t="s">
        <v>495</v>
      </c>
      <c r="E11" s="186">
        <f>IF($L$3=1,L11,0)+IF(L3=6,T11)</f>
        <v>0</v>
      </c>
      <c r="F11" s="186">
        <f>IF($L$3=1,M11,0)+IF(L3=6,U11)</f>
        <v>0</v>
      </c>
      <c r="G11" s="186">
        <f>IF($L$3=1,N11,0)+IF(L3=6,V11)</f>
        <v>0</v>
      </c>
      <c r="H11" s="187">
        <f>IF($H$5=6,Q11,R11)</f>
        <v>0</v>
      </c>
      <c r="I11" s="188"/>
      <c r="J11" s="796"/>
      <c r="L11" s="189" t="e">
        <f>VLOOKUP($F$5,'2015-16 Nursery Budget Final'!$C:$I,5,FALSE)</f>
        <v>#N/A</v>
      </c>
      <c r="M11" s="189" t="e">
        <f>VLOOKUP($F$5,'2015-16 Nursery Budget Final'!$C:$I,6,FALSE)</f>
        <v>#N/A</v>
      </c>
      <c r="N11" s="189" t="e">
        <f>VLOOKUP($F$5,'2015-16 Nursery Budget Final'!$C:$I,7,FALSE)</f>
        <v>#N/A</v>
      </c>
      <c r="P11" s="337">
        <f>'2015-16 Nursery Budget Final'!O232</f>
        <v>3714176</v>
      </c>
      <c r="Q11" s="159">
        <f>IF(F$5=12345,0,P11)</f>
        <v>0</v>
      </c>
      <c r="R11" s="188">
        <f>SUM($E11+$F11+$G11)*$C11</f>
        <v>0</v>
      </c>
      <c r="T11" s="568">
        <f>'2015-16 Nursery Budget Final'!G232</f>
        <v>378693</v>
      </c>
      <c r="U11" s="568">
        <f>'2015-16 Nursery Budget Final'!H232</f>
        <v>316416</v>
      </c>
      <c r="V11" s="568">
        <f>'2015-16 Nursery Budget Final'!I232</f>
        <v>325746</v>
      </c>
    </row>
    <row r="12" spans="2:22" ht="35.1" customHeight="1" x14ac:dyDescent="0.25">
      <c r="B12" s="190" t="s">
        <v>496</v>
      </c>
      <c r="C12" s="191">
        <v>5.5991996578845935</v>
      </c>
      <c r="D12" s="1292"/>
      <c r="E12" s="192">
        <f>IF($L$3=2,L12,0)+IF(L3=6,T12)</f>
        <v>0</v>
      </c>
      <c r="F12" s="192">
        <f>IF($L$3=2,M12,0)+IF(L3=6,U12)</f>
        <v>0</v>
      </c>
      <c r="G12" s="192">
        <f>IF($L$3=2,N12,0)+IF(L3=6,V12)</f>
        <v>0</v>
      </c>
      <c r="H12" s="193">
        <f>IF($H$5=6,Q12,R12)</f>
        <v>0</v>
      </c>
      <c r="I12" s="188"/>
      <c r="J12" s="796"/>
      <c r="L12" s="189" t="e">
        <f>VLOOKUP($F$5,'2015-16 Nursery Budget Final'!$C:$I,5,FALSE)</f>
        <v>#N/A</v>
      </c>
      <c r="M12" s="189" t="e">
        <f>VLOOKUP($F$5,'2015-16 Nursery Budget Final'!$C:$I,6,FALSE)</f>
        <v>#N/A</v>
      </c>
      <c r="N12" s="189" t="e">
        <f>VLOOKUP($F$5,'2015-16 Nursery Budget Final'!$C:$I,7,FALSE)</f>
        <v>#N/A</v>
      </c>
      <c r="P12" s="337">
        <f>'2015-16 Nursery Budget Final'!O233</f>
        <v>1550961</v>
      </c>
      <c r="Q12" s="159">
        <f t="shared" ref="Q12:Q14" si="0">IF(F$5=12345,0,P12)</f>
        <v>0</v>
      </c>
      <c r="R12" s="188">
        <f t="shared" ref="R12:R14" si="1">SUM($E12+$F12+$G12)*$C12</f>
        <v>0</v>
      </c>
      <c r="T12" s="568">
        <f>'2015-16 Nursery Budget Final'!G233</f>
        <v>100621</v>
      </c>
      <c r="U12" s="568">
        <f>'2015-16 Nursery Budget Final'!H233</f>
        <v>86016</v>
      </c>
      <c r="V12" s="568">
        <f>'2015-16 Nursery Budget Final'!I233</f>
        <v>90360</v>
      </c>
    </row>
    <row r="13" spans="2:22" ht="35.1" customHeight="1" x14ac:dyDescent="0.25">
      <c r="B13" s="190" t="s">
        <v>497</v>
      </c>
      <c r="C13" s="194">
        <v>3.6804985850845933</v>
      </c>
      <c r="D13" s="1292"/>
      <c r="E13" s="192">
        <f>IF($L$3=3,L13,0)+IF(L3=6,T13)</f>
        <v>0</v>
      </c>
      <c r="F13" s="192">
        <f>IF($L$3=3,M13,0)+IF(L3=6,U13)</f>
        <v>0</v>
      </c>
      <c r="G13" s="192">
        <f>IF($L$3=3,N13,0)+IF(L3=6,V13)</f>
        <v>0</v>
      </c>
      <c r="H13" s="193">
        <f>IF($H$5=6,Q13,R13)</f>
        <v>0</v>
      </c>
      <c r="I13" s="188"/>
      <c r="J13" s="796"/>
      <c r="L13" s="189" t="e">
        <f>VLOOKUP($F$5,'2015-16 Nursery Budget Final'!$C:$I,5,FALSE)</f>
        <v>#N/A</v>
      </c>
      <c r="M13" s="189" t="e">
        <f>VLOOKUP($F$5,'2015-16 Nursery Budget Final'!$C:$I,6,FALSE)</f>
        <v>#N/A</v>
      </c>
      <c r="N13" s="189" t="e">
        <f>VLOOKUP($F$5,'2015-16 Nursery Budget Final'!$C:$I,7,FALSE)</f>
        <v>#N/A</v>
      </c>
      <c r="P13" s="337">
        <f>'2015-16 Nursery Budget Final'!O234</f>
        <v>1385040</v>
      </c>
      <c r="Q13" s="159">
        <f t="shared" si="0"/>
        <v>0</v>
      </c>
      <c r="R13" s="188">
        <f t="shared" si="1"/>
        <v>0</v>
      </c>
      <c r="T13" s="568">
        <f>'2015-16 Nursery Budget Final'!G234</f>
        <v>133911</v>
      </c>
      <c r="U13" s="568">
        <f>'2015-16 Nursery Budget Final'!H234</f>
        <v>116566</v>
      </c>
      <c r="V13" s="568">
        <f>'2015-16 Nursery Budget Final'!I234</f>
        <v>125842</v>
      </c>
    </row>
    <row r="14" spans="2:22" ht="35.1" customHeight="1" thickBot="1" x14ac:dyDescent="0.3">
      <c r="B14" s="195" t="s">
        <v>498</v>
      </c>
      <c r="C14" s="194">
        <v>3.6804985850845933</v>
      </c>
      <c r="D14" s="1292"/>
      <c r="E14" s="192">
        <f>IF($L$3=4,L14,0)+IF(L3=6,T14)</f>
        <v>0</v>
      </c>
      <c r="F14" s="192">
        <f>IF($L$3=4,M14,0)+IF(L3=6,U14)</f>
        <v>0</v>
      </c>
      <c r="G14" s="192">
        <f>IF($L$3=4,N14,0)+IF(L3=6,V14)</f>
        <v>0</v>
      </c>
      <c r="H14" s="196">
        <f>IF($H$5=6,Q14,R14)</f>
        <v>0</v>
      </c>
      <c r="I14" s="188"/>
      <c r="J14" s="796"/>
      <c r="L14" s="189" t="e">
        <f>VLOOKUP($F$5,'2015-16 Nursery Budget Final'!$C:$I,5,FALSE)</f>
        <v>#N/A</v>
      </c>
      <c r="M14" s="189" t="e">
        <f>VLOOKUP($F$5,'2015-16 Nursery Budget Final'!$C:$I,6,FALSE)</f>
        <v>#N/A</v>
      </c>
      <c r="N14" s="189" t="e">
        <f>VLOOKUP($F$5,'2015-16 Nursery Budget Final'!$C:$I,7,FALSE)</f>
        <v>#N/A</v>
      </c>
      <c r="P14" s="337">
        <f>'2015-16 Nursery Budget Final'!O235</f>
        <v>3049804</v>
      </c>
      <c r="Q14" s="159">
        <f t="shared" si="0"/>
        <v>0</v>
      </c>
      <c r="R14" s="188">
        <f t="shared" si="1"/>
        <v>0</v>
      </c>
      <c r="T14" s="568">
        <f>'2015-16 Nursery Budget Final'!G235</f>
        <v>317610</v>
      </c>
      <c r="U14" s="568">
        <f>'2015-16 Nursery Budget Final'!H235</f>
        <v>246964</v>
      </c>
      <c r="V14" s="568">
        <f>'2015-16 Nursery Budget Final'!I235</f>
        <v>264066</v>
      </c>
    </row>
    <row r="15" spans="2:22" ht="50.25" customHeight="1" thickBot="1" x14ac:dyDescent="0.25">
      <c r="B15" s="197" t="s">
        <v>499</v>
      </c>
      <c r="C15" s="198" t="s">
        <v>492</v>
      </c>
      <c r="D15" s="199" t="s">
        <v>500</v>
      </c>
      <c r="E15" s="180" t="s">
        <v>613</v>
      </c>
      <c r="F15" s="180" t="s">
        <v>614</v>
      </c>
      <c r="G15" s="180" t="s">
        <v>615</v>
      </c>
      <c r="H15" s="200" t="s">
        <v>494</v>
      </c>
      <c r="I15" s="201"/>
      <c r="J15" s="201"/>
      <c r="T15" s="568">
        <f>'2015-16 Nursery Budget Final'!G236</f>
        <v>930835</v>
      </c>
      <c r="U15" s="568">
        <f>'2015-16 Nursery Budget Final'!H236</f>
        <v>765962</v>
      </c>
      <c r="V15" s="568">
        <f>'2015-16 Nursery Budget Final'!I236</f>
        <v>806014</v>
      </c>
    </row>
    <row r="16" spans="2:22" ht="35.1" customHeight="1" x14ac:dyDescent="0.2">
      <c r="B16" s="430" t="s">
        <v>501</v>
      </c>
      <c r="C16" s="202">
        <v>0.2036</v>
      </c>
      <c r="D16" s="203" t="s">
        <v>495</v>
      </c>
      <c r="E16" s="192">
        <f>IF($L$3=0,0,L16)</f>
        <v>0</v>
      </c>
      <c r="F16" s="192">
        <f t="shared" ref="F16:G18" si="2">IF($L$3=0,0,M16)</f>
        <v>0</v>
      </c>
      <c r="G16" s="192">
        <f t="shared" si="2"/>
        <v>0</v>
      </c>
      <c r="H16" s="187">
        <f>SUM(E16+F16+G16)*C16</f>
        <v>0</v>
      </c>
      <c r="I16" s="188"/>
      <c r="J16" s="188"/>
      <c r="L16" s="189" t="e">
        <f>VLOOKUP($F$5,'2015-16 Nursery Budget Final'!$C:$Z,15,FALSE)</f>
        <v>#N/A</v>
      </c>
      <c r="M16" s="189" t="e">
        <f>VLOOKUP($F$5,'2015-16 Nursery Budget Final'!$C:$Z,16,FALSE)</f>
        <v>#N/A</v>
      </c>
      <c r="N16" s="189" t="e">
        <f>VLOOKUP($F$5,'2015-16 Nursery Budget Final'!$C:$Z,17,FALSE)</f>
        <v>#N/A</v>
      </c>
    </row>
    <row r="17" spans="2:14" ht="35.1" customHeight="1" x14ac:dyDescent="0.2">
      <c r="B17" s="204" t="s">
        <v>502</v>
      </c>
      <c r="C17" s="205">
        <v>1.7611399999999999</v>
      </c>
      <c r="D17" s="206" t="s">
        <v>495</v>
      </c>
      <c r="E17" s="192">
        <f>IF($L$3=0,0,L17)</f>
        <v>0</v>
      </c>
      <c r="F17" s="192">
        <f t="shared" si="2"/>
        <v>0</v>
      </c>
      <c r="G17" s="192">
        <f t="shared" si="2"/>
        <v>0</v>
      </c>
      <c r="H17" s="187">
        <f>SUM(E17+F17+G17)*C17</f>
        <v>0</v>
      </c>
      <c r="I17" s="188"/>
      <c r="J17" s="188"/>
      <c r="L17" s="189" t="e">
        <f>VLOOKUP($F$5,'2015-16 Nursery Budget Final'!$C:$Z,21,FALSE)</f>
        <v>#N/A</v>
      </c>
      <c r="M17" s="189" t="e">
        <f>VLOOKUP($F$5,'2015-16 Nursery Budget Final'!$C:$Z,22,FALSE)</f>
        <v>#N/A</v>
      </c>
      <c r="N17" s="189" t="e">
        <f>VLOOKUP($F$5,'2015-16 Nursery Budget Final'!$C:$Z,23,FALSE)</f>
        <v>#N/A</v>
      </c>
    </row>
    <row r="18" spans="2:14" ht="35.1" customHeight="1" thickBot="1" x14ac:dyDescent="0.25">
      <c r="B18" s="207" t="s">
        <v>198</v>
      </c>
      <c r="C18" s="208">
        <v>0.2036</v>
      </c>
      <c r="D18" s="209" t="s">
        <v>495</v>
      </c>
      <c r="E18" s="192">
        <f>IF($L$3=0,0,L18)</f>
        <v>0</v>
      </c>
      <c r="F18" s="192">
        <f t="shared" si="2"/>
        <v>0</v>
      </c>
      <c r="G18" s="192">
        <f t="shared" si="2"/>
        <v>0</v>
      </c>
      <c r="H18" s="187">
        <f>SUM(E18+F18+G18)*C18</f>
        <v>0</v>
      </c>
      <c r="I18" s="188"/>
      <c r="J18" s="188"/>
      <c r="L18" s="189" t="e">
        <f>VLOOKUP($F$5,'2015-16 Nursery Budget Final'!$C:$AQ,37,FALSE)</f>
        <v>#N/A</v>
      </c>
      <c r="M18" s="189" t="e">
        <f>VLOOKUP($F$5,'2015-16 Nursery Budget Final'!$C:$AQ,38,FALSE)</f>
        <v>#N/A</v>
      </c>
      <c r="N18" s="189" t="e">
        <f>VLOOKUP($F$5,'2015-16 Nursery Budget Final'!$C:$AQ,39,FALSE)</f>
        <v>#N/A</v>
      </c>
    </row>
    <row r="19" spans="2:14" ht="35.1" customHeight="1" thickBot="1" x14ac:dyDescent="0.25">
      <c r="B19" s="210" t="s">
        <v>503</v>
      </c>
      <c r="C19" s="211" t="s">
        <v>492</v>
      </c>
      <c r="D19" s="212" t="s">
        <v>504</v>
      </c>
      <c r="E19" s="211" t="s">
        <v>493</v>
      </c>
      <c r="F19" s="211"/>
      <c r="G19" s="211"/>
      <c r="H19" s="213" t="s">
        <v>494</v>
      </c>
      <c r="I19" s="201"/>
      <c r="J19" s="201"/>
    </row>
    <row r="20" spans="2:14" ht="35.1" customHeight="1" x14ac:dyDescent="0.2">
      <c r="B20" s="214" t="s">
        <v>1419</v>
      </c>
      <c r="C20" s="215">
        <v>0</v>
      </c>
      <c r="D20" s="216" t="s">
        <v>505</v>
      </c>
      <c r="E20" s="186">
        <f>+IF(L3=6,1,0)</f>
        <v>0</v>
      </c>
      <c r="F20" s="217"/>
      <c r="G20" s="217"/>
      <c r="H20" s="187">
        <f>IF(H5=6,80000,0)</f>
        <v>0</v>
      </c>
      <c r="I20" s="188"/>
      <c r="J20" s="188"/>
    </row>
    <row r="21" spans="2:14" ht="35.1" customHeight="1" thickBot="1" x14ac:dyDescent="0.25">
      <c r="B21" s="218"/>
      <c r="C21" s="219"/>
      <c r="D21" s="219"/>
      <c r="E21" s="220"/>
      <c r="F21" s="220"/>
      <c r="G21" s="220"/>
      <c r="H21" s="196"/>
      <c r="I21" s="188"/>
      <c r="J21" s="188"/>
    </row>
    <row r="22" spans="2:14" ht="35.1" customHeight="1" thickBot="1" x14ac:dyDescent="0.25">
      <c r="B22" s="221" t="s">
        <v>506</v>
      </c>
      <c r="C22" s="222" t="s">
        <v>492</v>
      </c>
      <c r="D22" s="223" t="s">
        <v>500</v>
      </c>
      <c r="E22" s="222" t="s">
        <v>493</v>
      </c>
      <c r="F22" s="222"/>
      <c r="G22" s="222"/>
      <c r="H22" s="224" t="s">
        <v>494</v>
      </c>
      <c r="I22" s="201"/>
      <c r="J22" s="201"/>
    </row>
    <row r="23" spans="2:14" ht="35.1" customHeight="1" x14ac:dyDescent="0.2">
      <c r="B23" s="214" t="s">
        <v>507</v>
      </c>
      <c r="C23" s="793">
        <v>100000</v>
      </c>
      <c r="D23" s="216" t="s">
        <v>505</v>
      </c>
      <c r="E23" s="192">
        <f>IF($L$3=2,1,0)</f>
        <v>0</v>
      </c>
      <c r="F23" s="217"/>
      <c r="G23" s="1249">
        <f>IF($L$3=6,800000,0)</f>
        <v>0</v>
      </c>
      <c r="H23" s="187">
        <f>$E23*$C23+G23</f>
        <v>0</v>
      </c>
      <c r="I23" s="188"/>
      <c r="J23" s="188"/>
    </row>
    <row r="24" spans="2:14" ht="35.1" customHeight="1" x14ac:dyDescent="0.2">
      <c r="B24" s="218" t="s">
        <v>508</v>
      </c>
      <c r="C24" s="793">
        <f>SUMIF('ERS 2015-16'!$B:$B,$F$5,'ERS 2015-16'!$AE:$AE)</f>
        <v>0</v>
      </c>
      <c r="D24" s="792"/>
      <c r="E24" s="225">
        <v>1</v>
      </c>
      <c r="F24" s="220"/>
      <c r="G24" s="1249">
        <f>IF($L$3=6,252055,0)</f>
        <v>0</v>
      </c>
      <c r="H24" s="187">
        <f>$E24*$C24+G24</f>
        <v>0</v>
      </c>
      <c r="I24" s="188"/>
      <c r="J24" s="188"/>
      <c r="K24" s="226"/>
    </row>
    <row r="25" spans="2:14" ht="35.1" customHeight="1" thickBot="1" x14ac:dyDescent="0.25">
      <c r="B25" s="218" t="s">
        <v>509</v>
      </c>
      <c r="C25" s="795">
        <f>IF($L$3=2,K25,0)</f>
        <v>0</v>
      </c>
      <c r="D25" s="209"/>
      <c r="E25" s="225">
        <v>1</v>
      </c>
      <c r="F25" s="220"/>
      <c r="G25" s="1249">
        <f>IF($L$3=6,68248.86,0)</f>
        <v>0</v>
      </c>
      <c r="H25" s="187">
        <f>$E25*$C25+G25</f>
        <v>0</v>
      </c>
      <c r="I25" s="188"/>
      <c r="J25" s="188"/>
      <c r="K25" s="794">
        <f>SUMIF('Summary for Prints'!B:B,F5,'Summary for Prints'!V:V)</f>
        <v>0</v>
      </c>
    </row>
    <row r="26" spans="2:14" ht="35.1" customHeight="1" thickBot="1" x14ac:dyDescent="0.3">
      <c r="B26" s="227" t="s">
        <v>895</v>
      </c>
      <c r="C26" s="228"/>
      <c r="D26" s="229"/>
      <c r="E26" s="229"/>
      <c r="F26" s="229"/>
      <c r="G26" s="229"/>
      <c r="H26" s="230">
        <f>H11+H12+H13++H14+H16+H17+H18+H20+H21+H23+H24+H25</f>
        <v>0</v>
      </c>
      <c r="I26" s="231"/>
      <c r="J26" s="231"/>
    </row>
    <row r="27" spans="2:14" ht="27" customHeight="1" thickBot="1" x14ac:dyDescent="0.25">
      <c r="B27" s="1294" t="s">
        <v>607</v>
      </c>
      <c r="C27" s="1295"/>
      <c r="D27" s="1295"/>
      <c r="E27" s="1295"/>
      <c r="F27" s="1295"/>
      <c r="G27" s="1295"/>
      <c r="H27" s="1296"/>
      <c r="I27" s="158"/>
      <c r="J27" s="158"/>
    </row>
    <row r="28" spans="2:14" ht="27" customHeight="1" x14ac:dyDescent="0.2">
      <c r="B28" s="161"/>
      <c r="C28" s="162"/>
      <c r="D28" s="162"/>
      <c r="E28" s="162"/>
      <c r="F28" s="162"/>
      <c r="G28" s="162"/>
      <c r="H28" s="163"/>
      <c r="I28" s="158"/>
      <c r="J28" s="158"/>
    </row>
    <row r="29" spans="2:14" ht="15.75" customHeight="1" x14ac:dyDescent="0.2">
      <c r="B29" s="161"/>
      <c r="C29" s="1271" t="s">
        <v>616</v>
      </c>
      <c r="D29" s="1271"/>
      <c r="E29" s="1271"/>
      <c r="F29" s="162"/>
      <c r="G29" s="162"/>
      <c r="H29" s="163"/>
      <c r="I29" s="158"/>
      <c r="J29" s="158"/>
    </row>
    <row r="30" spans="2:14" ht="15.75" customHeight="1" x14ac:dyDescent="0.2">
      <c r="B30" s="161"/>
      <c r="C30" s="1271"/>
      <c r="D30" s="1271"/>
      <c r="E30" s="1271"/>
      <c r="F30" s="162"/>
      <c r="G30" s="162"/>
      <c r="H30" s="163"/>
      <c r="I30" s="158"/>
      <c r="J30" s="158"/>
    </row>
    <row r="31" spans="2:14" ht="27" customHeight="1" x14ac:dyDescent="0.2">
      <c r="B31" s="161"/>
      <c r="C31" s="232"/>
      <c r="D31" s="232"/>
      <c r="E31" s="232"/>
      <c r="F31" s="162"/>
      <c r="G31" s="162"/>
      <c r="H31" s="163"/>
      <c r="I31" s="158"/>
      <c r="J31" s="158"/>
    </row>
    <row r="32" spans="2:14" ht="27" customHeight="1" thickBot="1" x14ac:dyDescent="0.25">
      <c r="B32" s="161"/>
      <c r="C32" s="162"/>
      <c r="D32" s="162"/>
      <c r="E32" s="162"/>
      <c r="F32" s="162"/>
      <c r="G32" s="162"/>
      <c r="H32" s="163"/>
      <c r="I32" s="158"/>
      <c r="J32" s="158"/>
    </row>
    <row r="33" spans="2:17" ht="12.75" customHeight="1" x14ac:dyDescent="0.2">
      <c r="B33" s="233"/>
      <c r="C33" s="234"/>
      <c r="D33" s="1293" t="s">
        <v>488</v>
      </c>
      <c r="E33" s="1293"/>
      <c r="F33" s="1293"/>
      <c r="G33" s="235" t="s">
        <v>479</v>
      </c>
      <c r="H33" s="236" t="s">
        <v>469</v>
      </c>
      <c r="I33" s="237"/>
      <c r="J33" s="237"/>
    </row>
    <row r="34" spans="2:17" s="246" customFormat="1" ht="50.1" customHeight="1" thickBot="1" x14ac:dyDescent="0.25">
      <c r="B34" s="238" t="s">
        <v>647</v>
      </c>
      <c r="C34" s="239" t="s">
        <v>558</v>
      </c>
      <c r="D34" s="240"/>
      <c r="E34" s="241">
        <f>VLOOKUP($F$5,'Summary for Prints'!B:AD,21,FALSE)-H25</f>
        <v>0</v>
      </c>
      <c r="F34" s="242"/>
      <c r="G34" s="243">
        <v>1</v>
      </c>
      <c r="H34" s="244">
        <f>$G34*$E34</f>
        <v>0</v>
      </c>
      <c r="I34" s="245"/>
      <c r="J34" s="245"/>
    </row>
    <row r="35" spans="2:17" ht="12.75" customHeight="1" x14ac:dyDescent="0.2">
      <c r="B35" s="233"/>
      <c r="C35" s="234"/>
      <c r="D35" s="1267" t="s">
        <v>489</v>
      </c>
      <c r="E35" s="1267"/>
      <c r="F35" s="1267"/>
      <c r="G35" s="247" t="s">
        <v>479</v>
      </c>
      <c r="H35" s="248" t="s">
        <v>469</v>
      </c>
      <c r="I35" s="249"/>
      <c r="J35" s="249"/>
    </row>
    <row r="36" spans="2:17" ht="50.1" customHeight="1" thickBot="1" x14ac:dyDescent="0.3">
      <c r="B36" s="250" t="s">
        <v>567</v>
      </c>
      <c r="C36" s="239" t="s">
        <v>558</v>
      </c>
      <c r="D36" s="251"/>
      <c r="E36" s="241">
        <v>10000</v>
      </c>
      <c r="F36" s="252"/>
      <c r="G36" s="253">
        <f>(SUMIF('ERS 2015-16'!B$5:B$19,F5,'ERS 2015-16'!Y$5:Y$19)/10000)+IF(H5=6,245,0)</f>
        <v>0</v>
      </c>
      <c r="H36" s="244">
        <f>$G36*$E36</f>
        <v>0</v>
      </c>
      <c r="I36" s="245"/>
      <c r="J36" s="245"/>
    </row>
    <row r="37" spans="2:17" ht="12.75" customHeight="1" x14ac:dyDescent="0.2">
      <c r="B37" s="233"/>
      <c r="C37" s="234"/>
      <c r="D37" s="1267" t="s">
        <v>566</v>
      </c>
      <c r="E37" s="1267"/>
      <c r="F37" s="1267"/>
      <c r="G37" s="247" t="s">
        <v>513</v>
      </c>
      <c r="H37" s="248" t="s">
        <v>469</v>
      </c>
      <c r="I37" s="249"/>
      <c r="J37" s="249"/>
    </row>
    <row r="38" spans="2:17" ht="50.1" customHeight="1" thickBot="1" x14ac:dyDescent="0.3">
      <c r="B38" s="250" t="s">
        <v>568</v>
      </c>
      <c r="C38" s="239" t="s">
        <v>558</v>
      </c>
      <c r="D38" s="251"/>
      <c r="E38" s="241">
        <v>10000</v>
      </c>
      <c r="F38" s="252"/>
      <c r="G38" s="253">
        <f>(SUMIF('ERS 2015-16'!B$23:B$24,F5,'ERS 2015-16'!Y$23:Y$24)/10000)+IF(H5=6,9,0)</f>
        <v>0</v>
      </c>
      <c r="H38" s="244">
        <f>$G38*$E38</f>
        <v>0</v>
      </c>
      <c r="I38" s="245"/>
      <c r="J38" s="245"/>
    </row>
    <row r="39" spans="2:17" ht="12.75" customHeight="1" x14ac:dyDescent="0.2">
      <c r="B39" s="233"/>
      <c r="C39" s="234"/>
      <c r="D39" s="1267" t="s">
        <v>565</v>
      </c>
      <c r="E39" s="1267"/>
      <c r="F39" s="1267"/>
      <c r="G39" s="247" t="s">
        <v>479</v>
      </c>
      <c r="H39" s="248" t="s">
        <v>469</v>
      </c>
      <c r="I39" s="249"/>
      <c r="J39" s="249"/>
    </row>
    <row r="40" spans="2:17" ht="50.1" customHeight="1" thickBot="1" x14ac:dyDescent="0.3">
      <c r="B40" s="250" t="s">
        <v>601</v>
      </c>
      <c r="C40" s="239" t="s">
        <v>558</v>
      </c>
      <c r="D40" s="251"/>
      <c r="E40" s="241">
        <f>SUMIF('ERS 2015-16'!B:B,F5,'ERS 2015-16'!Z:Z)+IF(H5=6,1859169,0)</f>
        <v>0</v>
      </c>
      <c r="F40" s="252"/>
      <c r="G40" s="253">
        <v>1</v>
      </c>
      <c r="H40" s="244">
        <f>$G40*$E40</f>
        <v>0</v>
      </c>
      <c r="I40" s="245"/>
      <c r="J40" s="245"/>
    </row>
    <row r="41" spans="2:17" ht="12.75" customHeight="1" x14ac:dyDescent="0.2">
      <c r="B41" s="233"/>
      <c r="C41" s="234"/>
      <c r="D41" s="1267" t="s">
        <v>536</v>
      </c>
      <c r="E41" s="1267"/>
      <c r="F41" s="1267"/>
      <c r="G41" s="247" t="s">
        <v>479</v>
      </c>
      <c r="H41" s="248" t="s">
        <v>469</v>
      </c>
      <c r="I41" s="249"/>
      <c r="J41" s="249"/>
    </row>
    <row r="42" spans="2:17" ht="50.1" customHeight="1" thickBot="1" x14ac:dyDescent="0.3">
      <c r="B42" s="250" t="s">
        <v>553</v>
      </c>
      <c r="C42" s="239" t="s">
        <v>558</v>
      </c>
      <c r="D42" s="251"/>
      <c r="E42" s="241">
        <f>SUMIF('ERS 2015-16'!$B:$B,$F$5,'ERS 2015-16'!$AA:$AA)+IF(H5=6,25000,0)</f>
        <v>0</v>
      </c>
      <c r="F42" s="252"/>
      <c r="G42" s="253">
        <v>1</v>
      </c>
      <c r="H42" s="244">
        <f>$G42*$E42</f>
        <v>0</v>
      </c>
      <c r="I42" s="245"/>
      <c r="J42" s="245"/>
    </row>
    <row r="43" spans="2:17" ht="13.5" thickBot="1" x14ac:dyDescent="0.25">
      <c r="B43" s="233"/>
      <c r="C43" s="234"/>
      <c r="D43" s="1267"/>
      <c r="E43" s="1267"/>
      <c r="F43" s="1267"/>
      <c r="G43" s="247" t="s">
        <v>479</v>
      </c>
      <c r="H43" s="248" t="s">
        <v>469</v>
      </c>
      <c r="I43" s="249"/>
      <c r="J43" s="249"/>
    </row>
    <row r="44" spans="2:17" ht="50.1" customHeight="1" thickBot="1" x14ac:dyDescent="0.3">
      <c r="B44" s="255" t="s">
        <v>599</v>
      </c>
      <c r="C44" s="1263" t="s">
        <v>569</v>
      </c>
      <c r="D44" s="1264"/>
      <c r="E44" s="1264"/>
      <c r="F44" s="1265"/>
      <c r="G44" s="256"/>
      <c r="H44" s="257">
        <f>H36+H38+H40+H42+H34</f>
        <v>0</v>
      </c>
      <c r="I44" s="231"/>
      <c r="J44" s="231"/>
      <c r="K44" s="258"/>
    </row>
    <row r="45" spans="2:17" s="263" customFormat="1" ht="12.75" customHeight="1" x14ac:dyDescent="0.2">
      <c r="B45" s="426"/>
      <c r="C45" s="259"/>
      <c r="D45" s="1303"/>
      <c r="E45" s="1303"/>
      <c r="F45" s="1303"/>
      <c r="G45" s="260"/>
      <c r="H45" s="261"/>
      <c r="I45" s="249"/>
      <c r="J45" s="249"/>
      <c r="K45" s="262"/>
      <c r="L45" s="262"/>
      <c r="M45" s="262"/>
      <c r="N45" s="262"/>
      <c r="O45" s="262"/>
      <c r="P45" s="262"/>
      <c r="Q45" s="262"/>
    </row>
    <row r="46" spans="2:17" s="263" customFormat="1" ht="15" customHeight="1" x14ac:dyDescent="0.2">
      <c r="B46" s="427"/>
      <c r="C46" s="264"/>
      <c r="D46" s="1266" t="s">
        <v>570</v>
      </c>
      <c r="E46" s="1266"/>
      <c r="F46" s="1266"/>
      <c r="G46" s="265" t="s">
        <v>479</v>
      </c>
      <c r="H46" s="428" t="s">
        <v>469</v>
      </c>
      <c r="I46" s="249"/>
      <c r="J46" s="249"/>
      <c r="K46" s="262"/>
      <c r="L46" s="262"/>
      <c r="M46" s="262"/>
      <c r="N46" s="262"/>
      <c r="O46" s="262"/>
      <c r="P46" s="262"/>
      <c r="Q46" s="262"/>
    </row>
    <row r="47" spans="2:17" ht="50.1" customHeight="1" thickBot="1" x14ac:dyDescent="0.3">
      <c r="B47" s="266" t="s">
        <v>600</v>
      </c>
      <c r="C47" s="267" t="s">
        <v>558</v>
      </c>
      <c r="D47" s="268"/>
      <c r="E47" s="269">
        <f>SUMIF('ERS 2015-16'!B:B,F5,'ERS 2015-16'!AC:AC)+IF(H5=6,213236,0)</f>
        <v>0</v>
      </c>
      <c r="F47" s="270"/>
      <c r="G47" s="271">
        <v>1</v>
      </c>
      <c r="H47" s="272">
        <f>$G47*$E47</f>
        <v>0</v>
      </c>
      <c r="I47" s="254"/>
      <c r="J47" s="254"/>
    </row>
    <row r="48" spans="2:17" s="263" customFormat="1" ht="15" customHeight="1" thickBot="1" x14ac:dyDescent="0.3">
      <c r="B48" s="429"/>
      <c r="C48" s="273"/>
      <c r="D48" s="274"/>
      <c r="E48" s="275"/>
      <c r="F48" s="276"/>
      <c r="G48" s="277"/>
      <c r="H48" s="278"/>
      <c r="I48" s="245"/>
      <c r="J48" s="245"/>
      <c r="K48" s="262"/>
      <c r="L48" s="262"/>
      <c r="M48" s="262"/>
      <c r="N48" s="262"/>
      <c r="O48" s="262"/>
      <c r="P48" s="262"/>
      <c r="Q48" s="262"/>
    </row>
    <row r="49" spans="2:17" ht="13.5" thickBot="1" x14ac:dyDescent="0.25">
      <c r="B49" s="279"/>
      <c r="C49" s="280"/>
      <c r="D49" s="1268"/>
      <c r="E49" s="1268"/>
      <c r="F49" s="1268"/>
      <c r="G49" s="281"/>
      <c r="H49" s="282"/>
      <c r="I49" s="237"/>
      <c r="J49" s="237"/>
    </row>
    <row r="50" spans="2:17" s="263" customFormat="1" ht="19.5" customHeight="1" thickBot="1" x14ac:dyDescent="0.3">
      <c r="B50" s="1304" t="s">
        <v>598</v>
      </c>
      <c r="C50" s="1305"/>
      <c r="D50" s="1305"/>
      <c r="E50" s="1305"/>
      <c r="F50" s="1305"/>
      <c r="G50" s="1305"/>
      <c r="H50" s="1306"/>
      <c r="I50" s="231"/>
      <c r="J50" s="231"/>
      <c r="K50" s="283"/>
      <c r="L50" s="262"/>
      <c r="M50" s="262"/>
      <c r="N50" s="262"/>
      <c r="O50" s="262"/>
      <c r="P50" s="262"/>
      <c r="Q50" s="262"/>
    </row>
    <row r="51" spans="2:17" s="263" customFormat="1" ht="50.1" customHeight="1" thickBot="1" x14ac:dyDescent="0.3">
      <c r="B51" s="284"/>
      <c r="C51" s="285"/>
      <c r="D51" s="286"/>
      <c r="E51" s="231"/>
      <c r="F51" s="287"/>
      <c r="G51" s="288"/>
      <c r="H51" s="231"/>
      <c r="I51" s="231"/>
      <c r="J51" s="231"/>
      <c r="K51" s="283"/>
      <c r="L51" s="262"/>
      <c r="M51" s="262"/>
      <c r="N51" s="262"/>
      <c r="O51" s="262"/>
      <c r="P51" s="262"/>
      <c r="Q51" s="262"/>
    </row>
    <row r="52" spans="2:17" s="263" customFormat="1" ht="15" customHeight="1" thickBot="1" x14ac:dyDescent="0.3">
      <c r="B52" s="1220"/>
      <c r="C52" s="156"/>
      <c r="D52" s="156"/>
      <c r="E52" s="156"/>
      <c r="F52" s="1221"/>
      <c r="G52" s="1222"/>
      <c r="H52" s="275"/>
      <c r="I52" s="275"/>
      <c r="J52" s="1223"/>
      <c r="K52" s="283"/>
      <c r="L52" s="262"/>
      <c r="M52" s="262"/>
      <c r="N52" s="262"/>
      <c r="O52" s="262"/>
      <c r="P52" s="262"/>
      <c r="Q52" s="262"/>
    </row>
    <row r="53" spans="2:17" s="263" customFormat="1" ht="15" customHeight="1" thickBot="1" x14ac:dyDescent="0.3">
      <c r="B53" s="1272" t="str">
        <f>B5</f>
        <v>CLICK ON THE ARROW BUTTON TO SELECT YOUR SCHOOL FROM THE LIST</v>
      </c>
      <c r="C53" s="1273"/>
      <c r="D53" s="1274"/>
      <c r="E53" s="162"/>
      <c r="F53" s="432">
        <f>F5</f>
        <v>12345</v>
      </c>
      <c r="G53" s="431"/>
      <c r="H53" s="433">
        <f>H5</f>
        <v>0</v>
      </c>
      <c r="I53" s="231"/>
      <c r="J53" s="1224"/>
      <c r="K53" s="283"/>
      <c r="L53" s="262"/>
      <c r="M53" s="262"/>
      <c r="N53" s="262"/>
      <c r="O53" s="262"/>
      <c r="P53" s="262"/>
      <c r="Q53" s="262"/>
    </row>
    <row r="54" spans="2:17" ht="15.75" customHeight="1" x14ac:dyDescent="0.2">
      <c r="B54" s="161"/>
      <c r="C54" s="162"/>
      <c r="D54" s="162"/>
      <c r="E54" s="162"/>
      <c r="F54" s="162"/>
      <c r="G54" s="162"/>
      <c r="H54" s="289"/>
      <c r="I54" s="289"/>
      <c r="J54" s="163"/>
      <c r="K54" s="165"/>
    </row>
    <row r="55" spans="2:17" ht="15.75" customHeight="1" x14ac:dyDescent="0.2">
      <c r="B55" s="161"/>
      <c r="C55" s="1271" t="s">
        <v>617</v>
      </c>
      <c r="D55" s="1271"/>
      <c r="E55" s="1271"/>
      <c r="F55" s="162"/>
      <c r="G55" s="162"/>
      <c r="H55" s="289"/>
      <c r="I55" s="289"/>
      <c r="J55" s="163"/>
    </row>
    <row r="56" spans="2:17" ht="15.75" customHeight="1" x14ac:dyDescent="0.2">
      <c r="B56" s="161"/>
      <c r="C56" s="1271"/>
      <c r="D56" s="1271"/>
      <c r="E56" s="1271"/>
      <c r="F56" s="162"/>
      <c r="G56" s="162"/>
      <c r="H56" s="289"/>
      <c r="I56" s="289"/>
      <c r="J56" s="163"/>
    </row>
    <row r="57" spans="2:17" ht="13.5" thickBot="1" x14ac:dyDescent="0.25">
      <c r="B57" s="1225"/>
      <c r="C57" s="162"/>
      <c r="D57" s="162"/>
      <c r="E57" s="162"/>
      <c r="F57" s="162"/>
      <c r="G57" s="162"/>
      <c r="H57" s="289"/>
      <c r="I57" s="289"/>
      <c r="J57" s="163"/>
    </row>
    <row r="58" spans="2:17" x14ac:dyDescent="0.2">
      <c r="B58" s="436"/>
      <c r="C58" s="437"/>
      <c r="D58" s="437"/>
      <c r="E58" s="437"/>
      <c r="F58" s="437"/>
      <c r="G58" s="437"/>
      <c r="H58" s="438"/>
      <c r="I58" s="438"/>
      <c r="J58" s="439"/>
    </row>
    <row r="59" spans="2:17" s="292" customFormat="1" ht="65.099999999999994" customHeight="1" x14ac:dyDescent="0.2">
      <c r="B59" s="307" t="s">
        <v>456</v>
      </c>
      <c r="C59" s="264" t="s">
        <v>457</v>
      </c>
      <c r="D59" s="308" t="s">
        <v>462</v>
      </c>
      <c r="E59" s="308" t="s">
        <v>621</v>
      </c>
      <c r="F59" s="308" t="s">
        <v>622</v>
      </c>
      <c r="G59" s="435" t="s">
        <v>554</v>
      </c>
      <c r="H59" s="434" t="s">
        <v>459</v>
      </c>
      <c r="I59" s="396" t="s">
        <v>625</v>
      </c>
      <c r="J59" s="398" t="s">
        <v>626</v>
      </c>
      <c r="K59" s="291"/>
      <c r="L59" s="291"/>
      <c r="M59" s="291"/>
      <c r="N59" s="291"/>
      <c r="O59" s="291"/>
      <c r="P59" s="291"/>
      <c r="Q59" s="291"/>
    </row>
    <row r="60" spans="2:17" ht="27" customHeight="1" x14ac:dyDescent="0.2">
      <c r="B60" s="1284" t="s">
        <v>460</v>
      </c>
      <c r="C60" s="293" t="s">
        <v>461</v>
      </c>
      <c r="D60" s="294">
        <v>2553.0217000000002</v>
      </c>
      <c r="E60" s="290"/>
      <c r="F60" s="290"/>
      <c r="G60" s="295" t="e">
        <f>VLOOKUP($F$5,AWPU!$B:$M,9,FALSE)</f>
        <v>#N/A</v>
      </c>
      <c r="H60" s="296" t="e">
        <f>G60*D60</f>
        <v>#N/A</v>
      </c>
      <c r="I60" s="297">
        <v>0.11996825711963002</v>
      </c>
      <c r="J60" s="298" t="e">
        <f>D60*G60*I60</f>
        <v>#N/A</v>
      </c>
    </row>
    <row r="61" spans="2:17" ht="27" customHeight="1" x14ac:dyDescent="0.2">
      <c r="B61" s="1285"/>
      <c r="C61" s="293" t="s">
        <v>584</v>
      </c>
      <c r="D61" s="290"/>
      <c r="E61" s="294">
        <v>3576.1624000000002</v>
      </c>
      <c r="F61" s="290"/>
      <c r="G61" s="295" t="e">
        <f>VLOOKUP($F$5,AWPU!$B:$M,10,FALSE)</f>
        <v>#N/A</v>
      </c>
      <c r="H61" s="296" t="e">
        <f>G61*E61</f>
        <v>#N/A</v>
      </c>
      <c r="I61" s="297">
        <v>9.6990121973435081E-2</v>
      </c>
      <c r="J61" s="298" t="e">
        <f>E61*G61*I61</f>
        <v>#N/A</v>
      </c>
    </row>
    <row r="62" spans="2:17" ht="27" customHeight="1" x14ac:dyDescent="0.2">
      <c r="B62" s="1286"/>
      <c r="C62" s="293" t="s">
        <v>585</v>
      </c>
      <c r="D62" s="290"/>
      <c r="E62" s="290"/>
      <c r="F62" s="294">
        <v>4003.8288000000002</v>
      </c>
      <c r="G62" s="295" t="e">
        <f>VLOOKUP($F$5,AWPU!$B:$M,11,FALSE)</f>
        <v>#N/A</v>
      </c>
      <c r="H62" s="296" t="e">
        <f>G62*F62</f>
        <v>#N/A</v>
      </c>
      <c r="I62" s="297">
        <v>8.6334900283922683E-2</v>
      </c>
      <c r="J62" s="298" t="e">
        <f>F62*G62*I62</f>
        <v>#N/A</v>
      </c>
      <c r="L62" s="159" t="s">
        <v>1050</v>
      </c>
      <c r="M62" s="159" t="s">
        <v>1051</v>
      </c>
    </row>
    <row r="63" spans="2:17" ht="16.5" thickBot="1" x14ac:dyDescent="0.3">
      <c r="B63" s="299"/>
      <c r="C63" s="300"/>
      <c r="D63" s="301"/>
      <c r="E63" s="301"/>
      <c r="F63" s="302" t="s">
        <v>149</v>
      </c>
      <c r="G63" s="303" t="e">
        <f>SUM(G60:G62)</f>
        <v>#N/A</v>
      </c>
      <c r="H63" s="304" t="e">
        <f>SUM(H60:H62)</f>
        <v>#N/A</v>
      </c>
      <c r="I63" s="324"/>
      <c r="J63" s="305"/>
      <c r="L63" s="337" t="e">
        <f>G63</f>
        <v>#N/A</v>
      </c>
      <c r="M63" s="337" t="e">
        <f>G61+G62</f>
        <v>#N/A</v>
      </c>
    </row>
    <row r="64" spans="2:17" s="306" customFormat="1" ht="12.75" customHeight="1" thickBot="1" x14ac:dyDescent="0.25">
      <c r="B64" s="1269"/>
      <c r="C64" s="1270"/>
      <c r="D64" s="1270"/>
      <c r="E64" s="1270"/>
      <c r="F64" s="1270"/>
      <c r="G64" s="1270"/>
      <c r="H64" s="1270"/>
      <c r="I64" s="397"/>
      <c r="J64" s="423"/>
      <c r="L64" s="1213"/>
    </row>
    <row r="65" spans="2:21" s="262" customFormat="1" ht="36" customHeight="1" x14ac:dyDescent="0.25">
      <c r="B65" s="399" t="s">
        <v>1408</v>
      </c>
      <c r="C65" s="1248" t="s">
        <v>461</v>
      </c>
      <c r="D65" s="294">
        <v>-76.64</v>
      </c>
      <c r="E65" s="290"/>
      <c r="F65" s="290"/>
      <c r="G65" s="295" t="e">
        <f>VLOOKUP($F$5,'DE-DEL'!$B:$M,9,FALSE)</f>
        <v>#N/A</v>
      </c>
      <c r="H65" s="296" t="e">
        <f>G65*D65</f>
        <v>#N/A</v>
      </c>
      <c r="I65" s="297"/>
      <c r="J65" s="297"/>
      <c r="N65" s="295"/>
    </row>
    <row r="66" spans="2:21" s="262" customFormat="1" ht="36" customHeight="1" thickBot="1" x14ac:dyDescent="0.3">
      <c r="B66" s="399"/>
      <c r="C66" s="1248" t="s">
        <v>1</v>
      </c>
      <c r="D66" s="401"/>
      <c r="E66" s="402">
        <v>-72.39</v>
      </c>
      <c r="F66" s="402">
        <v>-72.39</v>
      </c>
      <c r="G66" s="295" t="e">
        <f>VLOOKUP($F$5,'DE-DEL'!$B:$M,10,FALSE)+VLOOKUP($F$5,'DE-DEL'!$B:$M,11,FALSE)</f>
        <v>#N/A</v>
      </c>
      <c r="H66" s="364" t="e">
        <f>G66*F66</f>
        <v>#N/A</v>
      </c>
      <c r="I66" s="297"/>
      <c r="J66" s="297"/>
      <c r="N66" s="403"/>
    </row>
    <row r="67" spans="2:21" ht="16.5" thickBot="1" x14ac:dyDescent="0.3">
      <c r="B67" s="404"/>
      <c r="C67" s="1247"/>
      <c r="D67" s="405"/>
      <c r="E67" s="405"/>
      <c r="F67" s="406" t="s">
        <v>149</v>
      </c>
      <c r="G67" s="407" t="e">
        <f>SUM(G65:G66)</f>
        <v>#N/A</v>
      </c>
      <c r="H67" s="408" t="e">
        <f>SUM(H65:H66)</f>
        <v>#N/A</v>
      </c>
      <c r="I67" s="400"/>
      <c r="J67" s="424"/>
    </row>
    <row r="68" spans="2:21" ht="52.5" customHeight="1" x14ac:dyDescent="0.2">
      <c r="B68" s="307"/>
      <c r="C68" s="264"/>
      <c r="D68" s="308" t="s">
        <v>462</v>
      </c>
      <c r="E68" s="308" t="s">
        <v>463</v>
      </c>
      <c r="F68" s="308" t="s">
        <v>464</v>
      </c>
      <c r="G68" s="309" t="s">
        <v>465</v>
      </c>
      <c r="H68" s="310" t="s">
        <v>459</v>
      </c>
      <c r="I68" s="396" t="s">
        <v>556</v>
      </c>
      <c r="J68" s="398" t="s">
        <v>557</v>
      </c>
      <c r="K68" s="311"/>
      <c r="L68" s="311"/>
      <c r="M68" s="311"/>
    </row>
    <row r="69" spans="2:21" ht="27" customHeight="1" x14ac:dyDescent="0.2">
      <c r="B69" s="1281" t="s">
        <v>466</v>
      </c>
      <c r="C69" s="312"/>
      <c r="D69" s="313"/>
      <c r="E69" s="313"/>
      <c r="F69" s="314"/>
      <c r="G69" s="314"/>
      <c r="H69" s="1133"/>
      <c r="I69" s="316"/>
      <c r="J69" s="317"/>
      <c r="K69" s="311"/>
      <c r="L69" s="311"/>
      <c r="M69" s="311"/>
      <c r="N69" s="315" t="e">
        <f>SUM(E11+F11+G11)*"C11"</f>
        <v>#VALUE!</v>
      </c>
      <c r="Q69" s="1134">
        <v>17742138.391672775</v>
      </c>
      <c r="R69" s="159" t="s">
        <v>749</v>
      </c>
      <c r="T69" s="159" t="s">
        <v>1364</v>
      </c>
    </row>
    <row r="70" spans="2:21" ht="27" customHeight="1" x14ac:dyDescent="0.2">
      <c r="B70" s="1282"/>
      <c r="C70" s="318" t="s">
        <v>467</v>
      </c>
      <c r="D70" s="294">
        <v>933.86172170858913</v>
      </c>
      <c r="E70" s="294">
        <v>715.21270513666468</v>
      </c>
      <c r="F70" s="1132" t="e">
        <f>VLOOKUP($F$5,DEP!$B:$AE,17,FALSE)</f>
        <v>#N/A</v>
      </c>
      <c r="G70" s="1132" t="e">
        <f>VLOOKUP($F$5,DEP!$B:$AE,18,FALSE)+IF(F5=4177,S70)</f>
        <v>#N/A</v>
      </c>
      <c r="H70" s="319" t="e">
        <f>$D70*$F70+($E70*$G70)</f>
        <v>#N/A</v>
      </c>
      <c r="I70" s="297">
        <v>0.35251785880652542</v>
      </c>
      <c r="J70" s="298" t="e">
        <f t="shared" ref="J70:J75" si="3">I70*H70</f>
        <v>#N/A</v>
      </c>
      <c r="K70" s="311"/>
      <c r="L70" s="1136">
        <f>DEP!R106</f>
        <v>7077.1543521292879</v>
      </c>
      <c r="M70" s="1136">
        <f>DEP!S106</f>
        <v>4630.040995065563</v>
      </c>
      <c r="O70" s="337"/>
      <c r="P70" s="337"/>
      <c r="R70" s="395">
        <f>DEP!U106</f>
        <v>51.845718901453957</v>
      </c>
      <c r="S70" s="395">
        <f>DEP!V106</f>
        <v>387.74313408723748</v>
      </c>
      <c r="T70" s="160">
        <v>306.62764227642276</v>
      </c>
      <c r="U70" s="395">
        <f>S70-T70</f>
        <v>81.115491810814717</v>
      </c>
    </row>
    <row r="71" spans="2:21" ht="27" customHeight="1" x14ac:dyDescent="0.2">
      <c r="B71" s="1282"/>
      <c r="C71" s="320" t="s">
        <v>120</v>
      </c>
      <c r="D71" s="294">
        <v>117.30841547807324</v>
      </c>
      <c r="E71" s="294">
        <v>93.126835011549474</v>
      </c>
      <c r="F71" s="1132" t="e">
        <f>VLOOKUP(F$5,DEP!B:AE,19,FALSE)</f>
        <v>#N/A</v>
      </c>
      <c r="G71" s="1132" t="e">
        <f>VLOOKUP($F$5,DEP!$B:$AE,20,FALSE)+IF(F5=4177,S71)</f>
        <v>#N/A</v>
      </c>
      <c r="H71" s="319" t="e">
        <f t="shared" ref="H71:H76" si="4">$D71*$F71+($E71*$G71)</f>
        <v>#N/A</v>
      </c>
      <c r="I71" s="297">
        <v>0.35251785880652542</v>
      </c>
      <c r="J71" s="298" t="e">
        <f t="shared" si="3"/>
        <v>#N/A</v>
      </c>
      <c r="K71" s="311"/>
      <c r="L71" s="1136">
        <f>DEP!R107</f>
        <v>1473.3289903716257</v>
      </c>
      <c r="M71" s="1136">
        <f>DEP!S107</f>
        <v>952.17878100979135</v>
      </c>
      <c r="O71" s="337"/>
      <c r="P71" s="337"/>
      <c r="R71" s="395">
        <f>DEP!U107</f>
        <v>8.25</v>
      </c>
      <c r="S71" s="395">
        <f>DEP!V107</f>
        <v>11.201210287443242</v>
      </c>
      <c r="T71" s="160">
        <v>9.2962356792144245</v>
      </c>
      <c r="U71" s="395">
        <f t="shared" ref="U71:U76" si="5">S71-T71</f>
        <v>1.9049746082288177</v>
      </c>
    </row>
    <row r="72" spans="2:21" ht="27" customHeight="1" x14ac:dyDescent="0.2">
      <c r="B72" s="1282"/>
      <c r="C72" s="320" t="s">
        <v>121</v>
      </c>
      <c r="D72" s="294">
        <v>234.6255044064591</v>
      </c>
      <c r="E72" s="294">
        <v>186.68734253409619</v>
      </c>
      <c r="F72" s="1132" t="e">
        <f>VLOOKUP(F$5,DEP!B:AE,21,FALSE)</f>
        <v>#N/A</v>
      </c>
      <c r="G72" s="1132" t="e">
        <f>VLOOKUP($F$5,DEP!$B:$AE,22,FALSE)+IF(F5=4177,S72)</f>
        <v>#N/A</v>
      </c>
      <c r="H72" s="319" t="e">
        <f t="shared" si="4"/>
        <v>#N/A</v>
      </c>
      <c r="I72" s="297">
        <v>0.35251785880652542</v>
      </c>
      <c r="J72" s="298" t="e">
        <f t="shared" si="3"/>
        <v>#N/A</v>
      </c>
      <c r="K72" s="311"/>
      <c r="L72" s="1136">
        <f>DEP!R108</f>
        <v>2223.9758592661742</v>
      </c>
      <c r="M72" s="1136">
        <f>DEP!S108</f>
        <v>1268.4262077263993</v>
      </c>
      <c r="O72" s="337"/>
      <c r="P72" s="337"/>
      <c r="R72" s="395">
        <f>DEP!U108</f>
        <v>22.000000000000028</v>
      </c>
      <c r="S72" s="395">
        <f>DEP!V108</f>
        <v>106.41149773071099</v>
      </c>
      <c r="T72" s="160">
        <v>109.69558101472998</v>
      </c>
      <c r="U72" s="395">
        <f t="shared" si="5"/>
        <v>-3.2840832840189904</v>
      </c>
    </row>
    <row r="73" spans="2:21" ht="27" customHeight="1" x14ac:dyDescent="0.2">
      <c r="B73" s="1282"/>
      <c r="C73" s="320" t="s">
        <v>122</v>
      </c>
      <c r="D73" s="294">
        <v>352.38493930078818</v>
      </c>
      <c r="E73" s="294">
        <v>279.82285099586556</v>
      </c>
      <c r="F73" s="1132" t="e">
        <f>VLOOKUP(F$5,DEP!B:AE,23,FALSE)</f>
        <v>#N/A</v>
      </c>
      <c r="G73" s="1132" t="e">
        <f>VLOOKUP($F$5,DEP!$B:$AE,24,FALSE)+IF(F5=4177,S73)</f>
        <v>#N/A</v>
      </c>
      <c r="H73" s="319" t="e">
        <f t="shared" si="4"/>
        <v>#N/A</v>
      </c>
      <c r="I73" s="297">
        <v>0.35251785880652542</v>
      </c>
      <c r="J73" s="298" t="e">
        <f t="shared" si="3"/>
        <v>#N/A</v>
      </c>
      <c r="K73" s="311"/>
      <c r="L73" s="1136">
        <f>DEP!R109</f>
        <v>3938.4188598224428</v>
      </c>
      <c r="M73" s="1136">
        <f>DEP!S109</f>
        <v>2175.5552597767164</v>
      </c>
      <c r="O73" s="337"/>
      <c r="P73" s="337"/>
      <c r="R73" s="395">
        <f>DEP!U109</f>
        <v>27.499999999999972</v>
      </c>
      <c r="S73" s="395">
        <f>DEP!V109</f>
        <v>193.22087745839633</v>
      </c>
      <c r="T73" s="160">
        <v>158.03600654664464</v>
      </c>
      <c r="U73" s="395">
        <f t="shared" si="5"/>
        <v>35.184870911751688</v>
      </c>
    </row>
    <row r="74" spans="2:21" ht="27" customHeight="1" x14ac:dyDescent="0.2">
      <c r="B74" s="1282"/>
      <c r="C74" s="320" t="s">
        <v>123</v>
      </c>
      <c r="D74" s="294">
        <v>469.69335477886142</v>
      </c>
      <c r="E74" s="294">
        <v>372.9496860074151</v>
      </c>
      <c r="F74" s="1132" t="e">
        <f>VLOOKUP(F$5,DEP!B:AE,25,FALSE)</f>
        <v>#N/A</v>
      </c>
      <c r="G74" s="1132" t="e">
        <f>VLOOKUP($F$5,DEP!$B:$AE,26,FALSE)+IF(F5=4177,S74)</f>
        <v>#N/A</v>
      </c>
      <c r="H74" s="319" t="e">
        <f t="shared" si="4"/>
        <v>#N/A</v>
      </c>
      <c r="I74" s="297">
        <v>0.35251785880652542</v>
      </c>
      <c r="J74" s="298" t="e">
        <f t="shared" si="3"/>
        <v>#N/A</v>
      </c>
      <c r="K74" s="311"/>
      <c r="L74" s="1136">
        <f>DEP!R110</f>
        <v>2906.8109453786046</v>
      </c>
      <c r="M74" s="1136">
        <f>DEP!S110</f>
        <v>1460.1202152222775</v>
      </c>
      <c r="O74" s="337"/>
      <c r="P74" s="337"/>
      <c r="R74" s="395">
        <f>DEP!U110</f>
        <v>13.750000000000027</v>
      </c>
      <c r="S74" s="395">
        <f>DEP!V110</f>
        <v>154.01664145234506</v>
      </c>
      <c r="T74" s="160">
        <v>153.38788870703772</v>
      </c>
      <c r="U74" s="395">
        <f t="shared" si="5"/>
        <v>0.62875274530733805</v>
      </c>
    </row>
    <row r="75" spans="2:21" ht="27" customHeight="1" x14ac:dyDescent="0.2">
      <c r="B75" s="1282"/>
      <c r="C75" s="320" t="s">
        <v>124</v>
      </c>
      <c r="D75" s="294">
        <v>939.39538300803542</v>
      </c>
      <c r="E75" s="294">
        <v>746.33304452582729</v>
      </c>
      <c r="F75" s="1132" t="e">
        <f>VLOOKUP(F$5,DEP!B:AE,27,FALSE)</f>
        <v>#N/A</v>
      </c>
      <c r="G75" s="1132" t="e">
        <f>VLOOKUP($F$5,DEP!$B:$AE,28,FALSE)+IF(F5=4177,S75)</f>
        <v>#N/A</v>
      </c>
      <c r="H75" s="319" t="e">
        <f t="shared" si="4"/>
        <v>#N/A</v>
      </c>
      <c r="I75" s="297">
        <v>0.35251785880652542</v>
      </c>
      <c r="J75" s="298" t="e">
        <f t="shared" si="3"/>
        <v>#N/A</v>
      </c>
      <c r="K75" s="311"/>
      <c r="L75" s="1136">
        <f>DEP!R111</f>
        <v>1903.9777417640619</v>
      </c>
      <c r="M75" s="1136">
        <f>DEP!S111</f>
        <v>1056.5466838967059</v>
      </c>
      <c r="O75" s="337"/>
      <c r="P75" s="337"/>
      <c r="R75" s="395">
        <f>DEP!U111</f>
        <v>0</v>
      </c>
      <c r="S75" s="395">
        <f>DEP!V111</f>
        <v>62.540090771558091</v>
      </c>
      <c r="T75" s="160">
        <v>56.707037643207876</v>
      </c>
      <c r="U75" s="395">
        <f t="shared" si="5"/>
        <v>5.8330531283502154</v>
      </c>
    </row>
    <row r="76" spans="2:21" ht="27" customHeight="1" x14ac:dyDescent="0.2">
      <c r="B76" s="1283"/>
      <c r="C76" s="320" t="s">
        <v>125</v>
      </c>
      <c r="D76" s="294">
        <v>939.39538300803542</v>
      </c>
      <c r="E76" s="294">
        <v>746.33304452582729</v>
      </c>
      <c r="F76" s="1132" t="e">
        <f>VLOOKUP(F$5,DEP!B:AE,29,FALSE)</f>
        <v>#N/A</v>
      </c>
      <c r="G76" s="1132" t="e">
        <f>VLOOKUP($F$5,DEP!$B:$AE,30,FALSE)+IF(F5=4177,S76)</f>
        <v>#N/A</v>
      </c>
      <c r="H76" s="319" t="e">
        <f t="shared" si="4"/>
        <v>#N/A</v>
      </c>
      <c r="I76" s="297">
        <v>0.35251785880652542</v>
      </c>
      <c r="J76" s="298" t="e">
        <f>I76*H76</f>
        <v>#N/A</v>
      </c>
      <c r="K76" s="311"/>
      <c r="L76" s="1136">
        <f>DEP!R112</f>
        <v>1222.4262336846105</v>
      </c>
      <c r="M76" s="1136">
        <f>DEP!S112</f>
        <v>702.62637639778359</v>
      </c>
      <c r="O76" s="337"/>
      <c r="P76" s="337"/>
      <c r="R76" s="395">
        <f>DEP!U112</f>
        <v>2.7499999999999969</v>
      </c>
      <c r="S76" s="395">
        <f>DEP!V112</f>
        <v>46.671709531013612</v>
      </c>
      <c r="T76" s="160">
        <v>46.481178396072011</v>
      </c>
      <c r="U76" s="395">
        <f t="shared" si="5"/>
        <v>0.19053113494160101</v>
      </c>
    </row>
    <row r="77" spans="2:21" ht="16.5" thickBot="1" x14ac:dyDescent="0.3">
      <c r="B77" s="321"/>
      <c r="C77" s="322"/>
      <c r="D77" s="323"/>
      <c r="E77" s="302" t="s">
        <v>149</v>
      </c>
      <c r="F77" s="303" t="e">
        <f>SUM(F69:F76)</f>
        <v>#N/A</v>
      </c>
      <c r="G77" s="303" t="e">
        <f>SUM(G69:G76)</f>
        <v>#N/A</v>
      </c>
      <c r="H77" s="304" t="e">
        <f>SUM(H69:H76)</f>
        <v>#N/A</v>
      </c>
      <c r="I77" s="324"/>
      <c r="J77" s="325" t="e">
        <f>IF(J70+J71+J72+J73+J74+J76+J75=0,H77*I76,"0")</f>
        <v>#N/A</v>
      </c>
      <c r="K77" s="311"/>
      <c r="L77" s="311"/>
      <c r="M77" s="311"/>
      <c r="R77" s="395"/>
      <c r="S77" s="395"/>
    </row>
    <row r="78" spans="2:21" ht="25.5" x14ac:dyDescent="0.2">
      <c r="B78" s="233"/>
      <c r="C78" s="234"/>
      <c r="D78" s="1267" t="s">
        <v>468</v>
      </c>
      <c r="E78" s="1267"/>
      <c r="F78" s="1267"/>
      <c r="G78" s="326" t="s">
        <v>458</v>
      </c>
      <c r="H78" s="327" t="s">
        <v>469</v>
      </c>
      <c r="I78" s="328"/>
      <c r="J78" s="329" t="s">
        <v>469</v>
      </c>
      <c r="K78" s="311"/>
      <c r="L78" s="311"/>
      <c r="M78" s="311"/>
    </row>
    <row r="79" spans="2:21" ht="50.1" customHeight="1" thickBot="1" x14ac:dyDescent="0.25">
      <c r="B79" s="238" t="s">
        <v>470</v>
      </c>
      <c r="C79" s="330" t="s">
        <v>559</v>
      </c>
      <c r="D79" s="251"/>
      <c r="E79" s="331">
        <v>1353.2166999999999</v>
      </c>
      <c r="F79" s="252"/>
      <c r="G79" s="1132" t="e">
        <f>VLOOKUP($F$5,LAC!B:D,2,FALSE)</f>
        <v>#N/A</v>
      </c>
      <c r="H79" s="319" t="e">
        <f>$G79*$E79</f>
        <v>#N/A</v>
      </c>
      <c r="I79" s="297">
        <v>0.99999997536733509</v>
      </c>
      <c r="J79" s="298" t="e">
        <f>I79*H79</f>
        <v>#N/A</v>
      </c>
      <c r="K79" s="311"/>
      <c r="L79" s="311"/>
      <c r="M79" s="311"/>
    </row>
    <row r="80" spans="2:21" ht="25.5" x14ac:dyDescent="0.2">
      <c r="B80" s="332"/>
      <c r="C80" s="333"/>
      <c r="D80" s="1267" t="s">
        <v>468</v>
      </c>
      <c r="E80" s="1267"/>
      <c r="F80" s="1267"/>
      <c r="G80" s="334" t="s">
        <v>458</v>
      </c>
      <c r="H80" s="327" t="s">
        <v>469</v>
      </c>
      <c r="I80" s="328"/>
      <c r="J80" s="329" t="s">
        <v>469</v>
      </c>
    </row>
    <row r="81" spans="2:11" ht="50.1" customHeight="1" thickBot="1" x14ac:dyDescent="0.25">
      <c r="B81" s="335" t="s">
        <v>471</v>
      </c>
      <c r="C81" s="336" t="s">
        <v>560</v>
      </c>
      <c r="D81" s="251"/>
      <c r="E81" s="331">
        <v>859.16</v>
      </c>
      <c r="F81" s="252"/>
      <c r="G81" s="1132" t="e">
        <f>VLOOKUP($F$5,LCHI!B:C,2,FALSE)</f>
        <v>#N/A</v>
      </c>
      <c r="H81" s="319" t="e">
        <f>$G81*$E81</f>
        <v>#N/A</v>
      </c>
      <c r="I81" s="297">
        <v>0.352517575306113</v>
      </c>
      <c r="J81" s="298" t="e">
        <f>I81*H81</f>
        <v>#N/A</v>
      </c>
    </row>
    <row r="82" spans="2:11" ht="25.5" x14ac:dyDescent="0.2">
      <c r="B82" s="332"/>
      <c r="C82" s="333"/>
      <c r="D82" s="1267" t="s">
        <v>468</v>
      </c>
      <c r="E82" s="1267"/>
      <c r="F82" s="1267"/>
      <c r="G82" s="334" t="s">
        <v>458</v>
      </c>
      <c r="H82" s="327" t="s">
        <v>469</v>
      </c>
      <c r="I82" s="328"/>
      <c r="J82" s="329" t="s">
        <v>469</v>
      </c>
    </row>
    <row r="83" spans="2:11" ht="46.5" customHeight="1" x14ac:dyDescent="0.2">
      <c r="B83" s="1284" t="s">
        <v>472</v>
      </c>
      <c r="C83" s="336" t="s">
        <v>473</v>
      </c>
      <c r="D83" s="251"/>
      <c r="E83" s="331">
        <v>855.73379999999997</v>
      </c>
      <c r="F83" s="252"/>
      <c r="G83" s="1132" t="e">
        <f>VLOOKUP($F$5,EAL!B:D,2,FALSE)</f>
        <v>#N/A</v>
      </c>
      <c r="H83" s="319" t="e">
        <f>$G83*$E83</f>
        <v>#N/A</v>
      </c>
      <c r="I83" s="297">
        <v>0.40054506899453624</v>
      </c>
      <c r="J83" s="298" t="e">
        <f>I83*H83</f>
        <v>#N/A</v>
      </c>
    </row>
    <row r="84" spans="2:11" ht="46.5" customHeight="1" thickBot="1" x14ac:dyDescent="0.25">
      <c r="B84" s="1302"/>
      <c r="C84" s="336" t="s">
        <v>474</v>
      </c>
      <c r="D84" s="251"/>
      <c r="E84" s="331">
        <v>2512.7556999999997</v>
      </c>
      <c r="F84" s="252"/>
      <c r="G84" s="1132" t="e">
        <f>VLOOKUP($F$5,EAL!B:D,3,FALSE)</f>
        <v>#N/A</v>
      </c>
      <c r="H84" s="319" t="e">
        <f>$G84*$E84</f>
        <v>#N/A</v>
      </c>
      <c r="I84" s="297">
        <v>0.40054506899453624</v>
      </c>
      <c r="J84" s="298" t="e">
        <f>I84*H84</f>
        <v>#N/A</v>
      </c>
      <c r="K84" s="337"/>
    </row>
    <row r="85" spans="2:11" ht="25.5" x14ac:dyDescent="0.2">
      <c r="B85" s="332"/>
      <c r="C85" s="333"/>
      <c r="D85" s="409" t="s">
        <v>627</v>
      </c>
      <c r="E85" s="409" t="s">
        <v>468</v>
      </c>
      <c r="F85" s="410"/>
      <c r="G85" s="338" t="s">
        <v>458</v>
      </c>
      <c r="H85" s="327" t="s">
        <v>469</v>
      </c>
      <c r="I85" s="328"/>
      <c r="J85" s="329" t="s">
        <v>469</v>
      </c>
    </row>
    <row r="86" spans="2:11" ht="78" customHeight="1" x14ac:dyDescent="0.2">
      <c r="B86" s="411" t="s">
        <v>475</v>
      </c>
      <c r="C86" s="339" t="s">
        <v>476</v>
      </c>
      <c r="D86" s="1244" t="e">
        <f>VLOOKUP($F$5,'2015 Factor % to units'!B:BY,62,FALSE)</f>
        <v>#N/A</v>
      </c>
      <c r="E86" s="331">
        <v>1199.68</v>
      </c>
      <c r="F86" s="340"/>
      <c r="G86" s="1132" t="e">
        <f>VLOOKUP($F$5,MOB!$B:$D,2,FALSE)</f>
        <v>#N/A</v>
      </c>
      <c r="H86" s="319" t="e">
        <f>$G86*$E86</f>
        <v>#N/A</v>
      </c>
      <c r="I86" s="297">
        <v>1</v>
      </c>
      <c r="J86" s="298" t="e">
        <f>I86*H86</f>
        <v>#N/A</v>
      </c>
    </row>
    <row r="87" spans="2:11" ht="78" customHeight="1" thickBot="1" x14ac:dyDescent="0.25">
      <c r="B87" s="412" t="s">
        <v>628</v>
      </c>
      <c r="C87" s="339" t="s">
        <v>477</v>
      </c>
      <c r="D87" s="1244" t="e">
        <f>VLOOKUP($F$5,'2015 Factor % to units'!B:BY,63,FALSE)</f>
        <v>#N/A</v>
      </c>
      <c r="E87" s="331">
        <v>2020.6040999999998</v>
      </c>
      <c r="F87" s="340"/>
      <c r="G87" s="1132" t="e">
        <f>VLOOKUP($F$5,MOB!B:D,3,FALSE)</f>
        <v>#N/A</v>
      </c>
      <c r="H87" s="319" t="e">
        <f>$G87*$E87</f>
        <v>#N/A</v>
      </c>
      <c r="I87" s="297">
        <v>1</v>
      </c>
      <c r="J87" s="298" t="e">
        <f>I87*H87</f>
        <v>#N/A</v>
      </c>
      <c r="K87" s="337"/>
    </row>
    <row r="88" spans="2:11" ht="12.75" customHeight="1" x14ac:dyDescent="0.2">
      <c r="B88" s="233"/>
      <c r="C88" s="234"/>
      <c r="D88" s="1267" t="s">
        <v>478</v>
      </c>
      <c r="E88" s="1267"/>
      <c r="F88" s="1267"/>
      <c r="G88" s="247" t="s">
        <v>479</v>
      </c>
      <c r="H88" s="327" t="s">
        <v>469</v>
      </c>
      <c r="I88" s="328"/>
      <c r="J88" s="329"/>
    </row>
    <row r="89" spans="2:11" ht="35.1" customHeight="1" thickBot="1" x14ac:dyDescent="0.25">
      <c r="B89" s="238" t="s">
        <v>480</v>
      </c>
      <c r="C89" s="330" t="s">
        <v>561</v>
      </c>
      <c r="D89" s="251"/>
      <c r="E89" s="331">
        <f>VLOOKUP($F$5,'Summary for Prints'!B:AC,8,FALSE)</f>
        <v>0</v>
      </c>
      <c r="F89" s="252"/>
      <c r="G89" s="243">
        <v>1</v>
      </c>
      <c r="H89" s="341">
        <f>$G89*$E89</f>
        <v>0</v>
      </c>
      <c r="I89" s="342"/>
      <c r="J89" s="343"/>
    </row>
    <row r="90" spans="2:11" ht="12.75" customHeight="1" x14ac:dyDescent="0.2">
      <c r="B90" s="332"/>
      <c r="C90" s="234"/>
      <c r="D90" s="1267" t="s">
        <v>481</v>
      </c>
      <c r="E90" s="1267"/>
      <c r="F90" s="1267"/>
      <c r="G90" s="247" t="s">
        <v>479</v>
      </c>
      <c r="H90" s="327" t="s">
        <v>469</v>
      </c>
      <c r="I90" s="328"/>
      <c r="J90" s="329"/>
    </row>
    <row r="91" spans="2:11" ht="35.1" customHeight="1" thickBot="1" x14ac:dyDescent="0.3">
      <c r="B91" s="250" t="s">
        <v>482</v>
      </c>
      <c r="C91" s="344"/>
      <c r="D91" s="251"/>
      <c r="E91" s="331">
        <f>VLOOKUP($F$5,'Summary for Prints'!B:AC,9,FALSE)</f>
        <v>0</v>
      </c>
      <c r="F91" s="252"/>
      <c r="G91" s="253">
        <v>1</v>
      </c>
      <c r="H91" s="341">
        <f>$G91*$E91</f>
        <v>0</v>
      </c>
      <c r="I91" s="345"/>
      <c r="J91" s="346"/>
    </row>
    <row r="92" spans="2:11" ht="12.75" customHeight="1" x14ac:dyDescent="0.2">
      <c r="B92" s="332"/>
      <c r="C92" s="234"/>
      <c r="D92" s="1267" t="s">
        <v>483</v>
      </c>
      <c r="E92" s="1267"/>
      <c r="F92" s="1267"/>
      <c r="G92" s="247" t="s">
        <v>479</v>
      </c>
      <c r="H92" s="327" t="s">
        <v>469</v>
      </c>
      <c r="I92" s="328"/>
      <c r="J92" s="329"/>
    </row>
    <row r="93" spans="2:11" ht="35.1" customHeight="1" thickBot="1" x14ac:dyDescent="0.3">
      <c r="B93" s="250" t="s">
        <v>563</v>
      </c>
      <c r="C93" s="347"/>
      <c r="D93" s="251"/>
      <c r="E93" s="331">
        <f>VLOOKUP($F$5,'Summary for Prints'!B:AC,12,FALSE)</f>
        <v>0</v>
      </c>
      <c r="F93" s="252"/>
      <c r="G93" s="253">
        <v>1</v>
      </c>
      <c r="H93" s="341">
        <f>$G93*$E93</f>
        <v>0</v>
      </c>
      <c r="I93" s="342"/>
      <c r="J93" s="343"/>
    </row>
    <row r="94" spans="2:11" ht="12.75" customHeight="1" x14ac:dyDescent="0.2">
      <c r="B94" s="332"/>
      <c r="C94" s="234"/>
      <c r="D94" s="1267" t="s">
        <v>484</v>
      </c>
      <c r="E94" s="1267"/>
      <c r="F94" s="1267"/>
      <c r="G94" s="247" t="s">
        <v>479</v>
      </c>
      <c r="H94" s="327" t="s">
        <v>469</v>
      </c>
      <c r="I94" s="328"/>
      <c r="J94" s="329"/>
    </row>
    <row r="95" spans="2:11" ht="44.25" customHeight="1" thickBot="1" x14ac:dyDescent="0.3">
      <c r="B95" s="250" t="s">
        <v>485</v>
      </c>
      <c r="C95" s="347"/>
      <c r="D95" s="251"/>
      <c r="E95" s="331">
        <f>VLOOKUP($F$5,'Summary for Prints'!B:AC,14,FALSE)</f>
        <v>0</v>
      </c>
      <c r="F95" s="252"/>
      <c r="G95" s="253">
        <v>1</v>
      </c>
      <c r="H95" s="341">
        <f>$G95*$E95</f>
        <v>0</v>
      </c>
      <c r="I95" s="342"/>
      <c r="J95" s="413" t="s">
        <v>620</v>
      </c>
    </row>
    <row r="96" spans="2:11" ht="12.75" customHeight="1" thickBot="1" x14ac:dyDescent="0.25">
      <c r="B96" s="332"/>
      <c r="C96" s="234"/>
      <c r="D96" s="1267" t="s">
        <v>486</v>
      </c>
      <c r="E96" s="1267"/>
      <c r="F96" s="1267"/>
      <c r="G96" s="247" t="s">
        <v>479</v>
      </c>
      <c r="H96" s="327" t="s">
        <v>469</v>
      </c>
      <c r="I96" s="414"/>
      <c r="J96" s="425"/>
    </row>
    <row r="97" spans="2:13" ht="30" customHeight="1" thickBot="1" x14ac:dyDescent="0.3">
      <c r="B97" s="348" t="s">
        <v>1365</v>
      </c>
      <c r="C97" s="349"/>
      <c r="D97" s="349"/>
      <c r="E97" s="350"/>
      <c r="F97" s="351"/>
      <c r="G97" s="352"/>
      <c r="H97" s="353" t="e">
        <f>H63+H77+H79+H81+H83+H84+H86+H87+H89+H91+H93+H95+H67</f>
        <v>#N/A</v>
      </c>
      <c r="I97" s="354"/>
      <c r="J97" s="415" t="e">
        <f>J60+J61+J62+J70+J71+J72+J73+J74+J75+J76+J79+J81+J83+J84+J86+J87+J77</f>
        <v>#N/A</v>
      </c>
    </row>
    <row r="98" spans="2:13" x14ac:dyDescent="0.2">
      <c r="B98" s="155"/>
      <c r="C98" s="355"/>
      <c r="D98" s="156"/>
      <c r="E98" s="156"/>
      <c r="F98" s="156"/>
      <c r="G98" s="156"/>
      <c r="H98" s="356"/>
      <c r="I98" s="357"/>
      <c r="J98" s="358"/>
    </row>
    <row r="99" spans="2:13" ht="15.75" x14ac:dyDescent="0.25">
      <c r="B99" s="359" t="s">
        <v>487</v>
      </c>
      <c r="C99" s="1276" t="s">
        <v>143</v>
      </c>
      <c r="D99" s="1276"/>
      <c r="E99" s="1276"/>
      <c r="F99" s="162"/>
      <c r="G99" s="162"/>
      <c r="H99" s="360"/>
      <c r="I99" s="158"/>
      <c r="J99" s="361"/>
    </row>
    <row r="100" spans="2:13" ht="13.5" thickBot="1" x14ac:dyDescent="0.25">
      <c r="B100" s="161"/>
      <c r="C100" s="162"/>
      <c r="D100" s="162"/>
      <c r="E100" s="162"/>
      <c r="F100" s="162"/>
      <c r="G100" s="162"/>
      <c r="H100" s="360"/>
      <c r="I100" s="158"/>
      <c r="J100" s="361"/>
    </row>
    <row r="101" spans="2:13" x14ac:dyDescent="0.2">
      <c r="B101" s="233"/>
      <c r="C101" s="234"/>
      <c r="D101" s="1267"/>
      <c r="E101" s="1267"/>
      <c r="F101" s="1267"/>
      <c r="G101" s="265" t="s">
        <v>479</v>
      </c>
      <c r="H101" s="362" t="s">
        <v>469</v>
      </c>
      <c r="I101" s="1137"/>
      <c r="J101" s="363"/>
    </row>
    <row r="102" spans="2:13" ht="27" customHeight="1" x14ac:dyDescent="0.2">
      <c r="B102" s="238" t="s">
        <v>562</v>
      </c>
      <c r="C102" s="344"/>
      <c r="D102" s="251"/>
      <c r="E102" s="331">
        <f>VLOOKUP($F$5,'Summary for Prints'!B:AC,19,FALSE)</f>
        <v>0</v>
      </c>
      <c r="F102" s="252"/>
      <c r="G102" s="243">
        <v>1</v>
      </c>
      <c r="H102" s="364">
        <f>$G102*$E102</f>
        <v>0</v>
      </c>
      <c r="I102" s="245"/>
      <c r="J102" s="365"/>
    </row>
    <row r="103" spans="2:13" x14ac:dyDescent="0.2">
      <c r="B103" s="161"/>
      <c r="C103" s="162"/>
      <c r="D103" s="162"/>
      <c r="E103" s="162"/>
      <c r="F103" s="162"/>
      <c r="G103" s="162"/>
      <c r="H103" s="360"/>
      <c r="I103" s="158"/>
      <c r="J103" s="361"/>
    </row>
    <row r="104" spans="2:13" ht="15.75" customHeight="1" x14ac:dyDescent="0.25">
      <c r="B104" s="366"/>
      <c r="C104" s="1276" t="s">
        <v>535</v>
      </c>
      <c r="D104" s="1276"/>
      <c r="E104" s="1276"/>
      <c r="F104" s="368"/>
      <c r="G104" s="369"/>
      <c r="H104" s="245"/>
      <c r="I104" s="245"/>
      <c r="J104" s="365"/>
    </row>
    <row r="105" spans="2:13" ht="15.75" customHeight="1" x14ac:dyDescent="0.2">
      <c r="B105" s="161"/>
      <c r="C105" s="367"/>
      <c r="D105" s="367"/>
      <c r="E105" s="367"/>
      <c r="F105" s="367"/>
      <c r="G105" s="162"/>
      <c r="H105" s="360"/>
      <c r="I105" s="158"/>
      <c r="J105" s="361"/>
    </row>
    <row r="106" spans="2:13" x14ac:dyDescent="0.2">
      <c r="B106" s="370"/>
      <c r="C106" s="371"/>
      <c r="D106" s="1267"/>
      <c r="E106" s="1267"/>
      <c r="F106" s="1267"/>
      <c r="G106" s="265" t="s">
        <v>479</v>
      </c>
      <c r="H106" s="362" t="s">
        <v>469</v>
      </c>
      <c r="I106" s="1137"/>
      <c r="J106" s="363"/>
    </row>
    <row r="107" spans="2:13" ht="27" customHeight="1" x14ac:dyDescent="0.2">
      <c r="B107" s="238" t="s">
        <v>618</v>
      </c>
      <c r="C107" s="344"/>
      <c r="D107" s="251"/>
      <c r="E107" s="331">
        <f>VLOOKUP($F$5,'Summary for Prints'!B:AC,10,FALSE)</f>
        <v>0</v>
      </c>
      <c r="F107" s="252"/>
      <c r="G107" s="243">
        <v>1</v>
      </c>
      <c r="H107" s="364">
        <f>$G107*$E107</f>
        <v>0</v>
      </c>
      <c r="I107" s="254"/>
      <c r="J107" s="372"/>
      <c r="K107" s="373"/>
      <c r="L107" s="374"/>
      <c r="M107" s="374"/>
    </row>
    <row r="108" spans="2:13" x14ac:dyDescent="0.2">
      <c r="B108" s="375"/>
      <c r="C108" s="376"/>
      <c r="D108" s="1301"/>
      <c r="E108" s="1301"/>
      <c r="F108" s="1301"/>
      <c r="G108" s="288"/>
      <c r="H108" s="237"/>
      <c r="I108" s="1137"/>
      <c r="J108" s="363"/>
    </row>
    <row r="109" spans="2:13" ht="13.5" thickBot="1" x14ac:dyDescent="0.25">
      <c r="B109" s="375"/>
      <c r="C109" s="376"/>
      <c r="D109" s="1137"/>
      <c r="E109" s="1137"/>
      <c r="F109" s="1137"/>
      <c r="G109" s="288"/>
      <c r="H109" s="237"/>
      <c r="I109" s="1137"/>
      <c r="J109" s="363"/>
    </row>
    <row r="110" spans="2:13" ht="30" customHeight="1" thickBot="1" x14ac:dyDescent="0.3">
      <c r="B110" s="1297" t="s">
        <v>1366</v>
      </c>
      <c r="C110" s="1298"/>
      <c r="D110" s="1298"/>
      <c r="E110" s="1298"/>
      <c r="F110" s="1298"/>
      <c r="G110" s="1298"/>
      <c r="H110" s="377"/>
      <c r="I110" s="1259" t="e">
        <f>$H26+$H44+$H97+$H102+$H107</f>
        <v>#N/A</v>
      </c>
      <c r="J110" s="1260"/>
      <c r="K110" s="373">
        <f>VLOOKUP($F$5,'Summary for Prints'!$B:$AZ,37,FALSE)</f>
        <v>0</v>
      </c>
      <c r="L110" s="374" t="e">
        <f>K110-I110</f>
        <v>#N/A</v>
      </c>
      <c r="M110" s="374"/>
    </row>
    <row r="111" spans="2:13" ht="15" customHeight="1" thickBot="1" x14ac:dyDescent="0.3">
      <c r="B111" s="378"/>
      <c r="C111" s="379"/>
      <c r="D111" s="379"/>
      <c r="E111" s="379"/>
      <c r="F111" s="380"/>
      <c r="G111" s="380"/>
      <c r="H111" s="381"/>
      <c r="I111" s="381"/>
      <c r="J111" s="382"/>
    </row>
    <row r="112" spans="2:13" ht="30" customHeight="1" thickBot="1" x14ac:dyDescent="0.3">
      <c r="B112" s="1299" t="s">
        <v>1367</v>
      </c>
      <c r="C112" s="1300"/>
      <c r="D112" s="1300"/>
      <c r="E112" s="1300"/>
      <c r="F112" s="1300"/>
      <c r="G112" s="1300"/>
      <c r="H112" s="383"/>
      <c r="I112" s="1261" t="e">
        <f>I110-H107</f>
        <v>#N/A</v>
      </c>
      <c r="J112" s="1262"/>
      <c r="K112" s="373">
        <f>VLOOKUP($F$5,'Summary for Prints'!$B:$AZ,36,FALSE)</f>
        <v>0</v>
      </c>
      <c r="L112" s="374" t="e">
        <f>K112-I112</f>
        <v>#N/A</v>
      </c>
    </row>
    <row r="113" spans="2:17" x14ac:dyDescent="0.2">
      <c r="B113" s="161"/>
      <c r="C113" s="162"/>
      <c r="D113" s="162"/>
      <c r="E113" s="162"/>
      <c r="F113" s="162"/>
      <c r="G113" s="162"/>
      <c r="H113" s="289"/>
      <c r="I113" s="158"/>
      <c r="J113" s="361"/>
    </row>
    <row r="114" spans="2:17" ht="15.75" x14ac:dyDescent="0.25">
      <c r="B114" s="161"/>
      <c r="C114" s="1276" t="s">
        <v>146</v>
      </c>
      <c r="D114" s="1276"/>
      <c r="E114" s="1276"/>
      <c r="F114" s="162"/>
      <c r="G114" s="162"/>
      <c r="H114" s="289"/>
      <c r="I114" s="158"/>
      <c r="J114" s="361"/>
    </row>
    <row r="115" spans="2:17" x14ac:dyDescent="0.2">
      <c r="B115" s="161"/>
      <c r="C115" s="162"/>
      <c r="D115" s="162"/>
      <c r="E115" s="162"/>
      <c r="F115" s="162"/>
      <c r="G115" s="162"/>
      <c r="H115" s="289"/>
      <c r="I115" s="158"/>
      <c r="J115" s="361"/>
    </row>
    <row r="116" spans="2:17" x14ac:dyDescent="0.2">
      <c r="B116" s="384"/>
      <c r="C116" s="371"/>
      <c r="D116" s="1267" t="s">
        <v>510</v>
      </c>
      <c r="E116" s="1267"/>
      <c r="F116" s="1267"/>
      <c r="G116" s="247" t="s">
        <v>479</v>
      </c>
      <c r="H116" s="385" t="s">
        <v>469</v>
      </c>
      <c r="I116" s="1137"/>
      <c r="J116" s="363"/>
    </row>
    <row r="117" spans="2:17" ht="27" customHeight="1" x14ac:dyDescent="0.2">
      <c r="B117" s="238" t="s">
        <v>619</v>
      </c>
      <c r="C117" s="239" t="s">
        <v>534</v>
      </c>
      <c r="D117" s="251"/>
      <c r="E117" s="331">
        <f>VLOOKUP($F$5,'Summary for Prints'!B:AC,23,FALSE)</f>
        <v>0</v>
      </c>
      <c r="F117" s="252"/>
      <c r="G117" s="243">
        <v>1</v>
      </c>
      <c r="H117" s="364">
        <f>E117*G117</f>
        <v>0</v>
      </c>
      <c r="I117" s="249"/>
      <c r="J117" s="363"/>
    </row>
    <row r="118" spans="2:17" ht="30" customHeight="1" thickBot="1" x14ac:dyDescent="0.25">
      <c r="B118" s="386"/>
      <c r="C118" s="387"/>
      <c r="D118" s="388"/>
      <c r="E118" s="389"/>
      <c r="F118" s="390"/>
      <c r="G118" s="391"/>
      <c r="H118" s="392"/>
      <c r="I118" s="389"/>
      <c r="J118" s="393"/>
    </row>
    <row r="119" spans="2:17" s="263" customFormat="1" ht="50.1" customHeight="1" thickBot="1" x14ac:dyDescent="0.3">
      <c r="C119" s="1256" t="s">
        <v>641</v>
      </c>
      <c r="D119" s="1257"/>
      <c r="E119" s="1257"/>
      <c r="F119" s="1257"/>
      <c r="G119" s="1257"/>
      <c r="H119" s="1258"/>
      <c r="I119" s="394"/>
      <c r="J119" s="394"/>
      <c r="K119" s="262"/>
      <c r="L119" s="262"/>
      <c r="M119" s="262"/>
      <c r="N119" s="262"/>
      <c r="O119" s="262"/>
      <c r="P119" s="262"/>
      <c r="Q119" s="262"/>
    </row>
    <row r="120" spans="2:17" s="263" customFormat="1" ht="30.75" thickBot="1" x14ac:dyDescent="0.25">
      <c r="C120" s="127"/>
      <c r="D120" s="76" t="s">
        <v>629</v>
      </c>
      <c r="E120" s="117" t="s">
        <v>630</v>
      </c>
      <c r="F120" s="76" t="s">
        <v>639</v>
      </c>
      <c r="G120" s="117" t="s">
        <v>640</v>
      </c>
      <c r="H120" s="111" t="s">
        <v>469</v>
      </c>
      <c r="I120" s="394"/>
      <c r="J120" s="394"/>
      <c r="K120" s="262"/>
      <c r="L120" s="262"/>
      <c r="M120" s="262"/>
      <c r="N120" s="262"/>
      <c r="O120" s="262"/>
      <c r="P120" s="262"/>
      <c r="Q120" s="262"/>
    </row>
    <row r="121" spans="2:17" s="263" customFormat="1" ht="50.1" customHeight="1" thickBot="1" x14ac:dyDescent="0.25">
      <c r="C121" s="421" t="s">
        <v>631</v>
      </c>
      <c r="D121" s="1229">
        <v>-6.01</v>
      </c>
      <c r="E121" s="1234">
        <v>-6.01</v>
      </c>
      <c r="F121" s="1227" t="e">
        <f>VLOOKUP($F$5,'DE-DEL'!$B:$M,9,FALSE)</f>
        <v>#N/A</v>
      </c>
      <c r="G121" s="1226" t="e">
        <f>VLOOKUP($F$5,'DE-DEL'!$B:$M,10,FALSE)+VLOOKUP($F$5,'DE-DEL'!$B:$M,11,FALSE)</f>
        <v>#N/A</v>
      </c>
      <c r="H121" s="112" t="e">
        <f>D121*F121+E121*G121</f>
        <v>#N/A</v>
      </c>
      <c r="I121" s="394"/>
      <c r="J121" s="394"/>
      <c r="K121" s="262"/>
      <c r="L121" s="262"/>
      <c r="M121" s="262"/>
      <c r="N121" s="262"/>
      <c r="O121" s="262"/>
      <c r="P121" s="262"/>
      <c r="Q121" s="262"/>
    </row>
    <row r="122" spans="2:17" s="263" customFormat="1" ht="25.5" customHeight="1" thickBot="1" x14ac:dyDescent="0.25">
      <c r="C122" s="128"/>
      <c r="D122" s="113" t="s">
        <v>514</v>
      </c>
      <c r="E122" s="114" t="s">
        <v>514</v>
      </c>
      <c r="F122" s="1228" t="s">
        <v>1409</v>
      </c>
      <c r="G122" s="114" t="s">
        <v>1410</v>
      </c>
      <c r="H122" s="111" t="s">
        <v>469</v>
      </c>
      <c r="I122" s="394"/>
      <c r="J122" s="394"/>
      <c r="K122" s="262"/>
      <c r="L122" s="262"/>
      <c r="M122" s="262"/>
      <c r="N122" s="262"/>
      <c r="O122" s="262"/>
      <c r="P122" s="262"/>
      <c r="Q122" s="262"/>
    </row>
    <row r="123" spans="2:17" s="263" customFormat="1" ht="50.1" customHeight="1" thickBot="1" x14ac:dyDescent="0.25">
      <c r="C123" s="421" t="s">
        <v>632</v>
      </c>
      <c r="D123" s="1230">
        <v>-3.5</v>
      </c>
      <c r="E123" s="1235">
        <v>-3.5</v>
      </c>
      <c r="F123" s="1227" t="e">
        <f>VLOOKUP($F$5,'DE-DEL'!$B:$M,9,FALSE)</f>
        <v>#N/A</v>
      </c>
      <c r="G123" s="1226" t="e">
        <f>VLOOKUP($F$5,'DE-DEL'!$B:$M,10,FALSE)+VLOOKUP($F$5,'DE-DEL'!$B:$M,11,FALSE)</f>
        <v>#N/A</v>
      </c>
      <c r="H123" s="112" t="e">
        <f>D123*F123+E123*G123</f>
        <v>#N/A</v>
      </c>
      <c r="I123" s="394"/>
      <c r="J123" s="394"/>
      <c r="K123" s="262"/>
      <c r="L123" s="262"/>
      <c r="M123" s="262"/>
      <c r="N123" s="262"/>
      <c r="O123" s="262"/>
      <c r="P123" s="262"/>
      <c r="Q123" s="262"/>
    </row>
    <row r="124" spans="2:17" s="263" customFormat="1" ht="25.5" customHeight="1" thickBot="1" x14ac:dyDescent="0.25">
      <c r="C124" s="113"/>
      <c r="D124" s="113" t="s">
        <v>514</v>
      </c>
      <c r="E124" s="114" t="s">
        <v>514</v>
      </c>
      <c r="F124" s="1228" t="s">
        <v>1409</v>
      </c>
      <c r="G124" s="114" t="s">
        <v>1410</v>
      </c>
      <c r="H124" s="111" t="s">
        <v>469</v>
      </c>
      <c r="I124" s="394"/>
      <c r="J124" s="394"/>
      <c r="K124" s="262"/>
      <c r="L124" s="262"/>
      <c r="M124" s="262"/>
      <c r="N124" s="262"/>
      <c r="O124" s="262"/>
      <c r="P124" s="262"/>
      <c r="Q124" s="262"/>
    </row>
    <row r="125" spans="2:17" s="263" customFormat="1" ht="50.1" customHeight="1" thickBot="1" x14ac:dyDescent="0.25">
      <c r="C125" s="421" t="s">
        <v>633</v>
      </c>
      <c r="D125" s="1230">
        <v>-10.01</v>
      </c>
      <c r="E125" s="1235">
        <v>-10.01</v>
      </c>
      <c r="F125" s="1227" t="e">
        <f>VLOOKUP($F$5,'DE-DEL'!$B:$M,9,FALSE)</f>
        <v>#N/A</v>
      </c>
      <c r="G125" s="1226" t="e">
        <f>VLOOKUP($F$5,'DE-DEL'!$B:$M,10,FALSE)+VLOOKUP($F$5,'DE-DEL'!$B:$M,11,FALSE)</f>
        <v>#N/A</v>
      </c>
      <c r="H125" s="112" t="e">
        <f>D125*F125+E125*G125</f>
        <v>#N/A</v>
      </c>
      <c r="I125" s="394"/>
      <c r="J125" s="394"/>
      <c r="K125" s="262"/>
      <c r="L125" s="262"/>
      <c r="M125" s="262"/>
      <c r="N125" s="262"/>
      <c r="O125" s="262"/>
      <c r="P125" s="262"/>
      <c r="Q125" s="262"/>
    </row>
    <row r="126" spans="2:17" s="263" customFormat="1" ht="25.5" customHeight="1" thickBot="1" x14ac:dyDescent="0.25">
      <c r="C126" s="128"/>
      <c r="D126" s="113" t="s">
        <v>514</v>
      </c>
      <c r="E126" s="114" t="s">
        <v>514</v>
      </c>
      <c r="F126" s="1228" t="s">
        <v>1409</v>
      </c>
      <c r="G126" s="114" t="s">
        <v>1410</v>
      </c>
      <c r="H126" s="111" t="s">
        <v>469</v>
      </c>
      <c r="I126" s="394"/>
      <c r="J126" s="394"/>
      <c r="K126" s="262"/>
      <c r="L126" s="262"/>
      <c r="M126" s="262"/>
      <c r="N126" s="262"/>
      <c r="O126" s="262"/>
      <c r="P126" s="262"/>
      <c r="Q126" s="262"/>
    </row>
    <row r="127" spans="2:17" s="263" customFormat="1" ht="50.1" customHeight="1" thickBot="1" x14ac:dyDescent="0.25">
      <c r="C127" s="421" t="s">
        <v>634</v>
      </c>
      <c r="D127" s="1230">
        <v>-3</v>
      </c>
      <c r="E127" s="1235">
        <v>-3</v>
      </c>
      <c r="F127" s="1227" t="e">
        <f>VLOOKUP($F$5,'DE-DEL'!$B:$M,9,FALSE)</f>
        <v>#N/A</v>
      </c>
      <c r="G127" s="1226" t="e">
        <f>VLOOKUP($F$5,'DE-DEL'!$B:$M,10,FALSE)+VLOOKUP($F$5,'DE-DEL'!$B:$M,11,FALSE)</f>
        <v>#N/A</v>
      </c>
      <c r="H127" s="112" t="e">
        <f>D127*F127+E127*G127</f>
        <v>#N/A</v>
      </c>
      <c r="I127" s="394"/>
      <c r="J127" s="394"/>
      <c r="K127" s="262"/>
      <c r="L127" s="262"/>
      <c r="M127" s="262"/>
      <c r="N127" s="262"/>
      <c r="O127" s="262"/>
      <c r="P127" s="262"/>
      <c r="Q127" s="262"/>
    </row>
    <row r="128" spans="2:17" s="263" customFormat="1" ht="25.5" customHeight="1" thickBot="1" x14ac:dyDescent="0.25">
      <c r="C128" s="113"/>
      <c r="D128" s="113" t="s">
        <v>514</v>
      </c>
      <c r="E128" s="114" t="s">
        <v>514</v>
      </c>
      <c r="F128" s="1228" t="s">
        <v>1409</v>
      </c>
      <c r="G128" s="114" t="s">
        <v>1410</v>
      </c>
      <c r="H128" s="111" t="s">
        <v>469</v>
      </c>
      <c r="I128" s="394"/>
      <c r="J128" s="394"/>
      <c r="K128" s="262"/>
      <c r="L128" s="262"/>
      <c r="M128" s="262"/>
      <c r="N128" s="262"/>
      <c r="O128" s="262"/>
      <c r="P128" s="262"/>
      <c r="Q128" s="262"/>
    </row>
    <row r="129" spans="3:17" s="263" customFormat="1" ht="50.1" customHeight="1" thickBot="1" x14ac:dyDescent="0.25">
      <c r="C129" s="421" t="s">
        <v>635</v>
      </c>
      <c r="D129" s="1230">
        <v>-21.14</v>
      </c>
      <c r="E129" s="1235">
        <v>-21.14</v>
      </c>
      <c r="F129" s="1227" t="e">
        <f>VLOOKUP($F$5,'DE-DEL'!$B:$M,9,FALSE)</f>
        <v>#N/A</v>
      </c>
      <c r="G129" s="1226" t="e">
        <f>VLOOKUP($F$5,'DE-DEL'!$B:$M,10,FALSE)+VLOOKUP($F$5,'DE-DEL'!$B:$M,11,FALSE)</f>
        <v>#N/A</v>
      </c>
      <c r="H129" s="112" t="e">
        <f>D129*F129+E129*G129</f>
        <v>#N/A</v>
      </c>
      <c r="I129" s="394"/>
      <c r="J129" s="394"/>
      <c r="K129" s="262"/>
      <c r="L129" s="262"/>
      <c r="M129" s="262"/>
      <c r="N129" s="262"/>
      <c r="O129" s="262"/>
      <c r="P129" s="262"/>
      <c r="Q129" s="262"/>
    </row>
    <row r="130" spans="3:17" s="263" customFormat="1" ht="25.5" customHeight="1" thickBot="1" x14ac:dyDescent="0.25">
      <c r="C130" s="113"/>
      <c r="D130" s="113" t="s">
        <v>514</v>
      </c>
      <c r="E130" s="114" t="s">
        <v>514</v>
      </c>
      <c r="F130" s="1228" t="s">
        <v>1409</v>
      </c>
      <c r="G130" s="114" t="s">
        <v>1410</v>
      </c>
      <c r="H130" s="111" t="s">
        <v>469</v>
      </c>
      <c r="I130" s="394"/>
      <c r="J130" s="394"/>
      <c r="K130" s="262"/>
      <c r="L130" s="262"/>
      <c r="M130" s="262"/>
      <c r="N130" s="262"/>
      <c r="O130" s="262"/>
      <c r="P130" s="262"/>
      <c r="Q130" s="262"/>
    </row>
    <row r="131" spans="3:17" s="263" customFormat="1" ht="50.1" customHeight="1" thickBot="1" x14ac:dyDescent="0.25">
      <c r="C131" s="421" t="s">
        <v>638</v>
      </c>
      <c r="D131" s="1230">
        <v>-9.6999999999999993</v>
      </c>
      <c r="E131" s="1235">
        <v>-11.93</v>
      </c>
      <c r="F131" s="1227" t="e">
        <f>VLOOKUP($F$5,'DE-DEL'!$B:$M,9,FALSE)</f>
        <v>#N/A</v>
      </c>
      <c r="G131" s="1226" t="e">
        <f>VLOOKUP($F$5,'DE-DEL'!$B:$M,10,FALSE)+VLOOKUP($F$5,'DE-DEL'!$B:$M,11,FALSE)</f>
        <v>#N/A</v>
      </c>
      <c r="H131" s="112" t="e">
        <f>D131*F131+E131*G131</f>
        <v>#N/A</v>
      </c>
      <c r="I131" s="394"/>
      <c r="J131" s="394"/>
      <c r="K131" s="262"/>
      <c r="L131" s="262"/>
      <c r="M131" s="262"/>
      <c r="N131" s="262"/>
      <c r="O131" s="262"/>
      <c r="P131" s="262"/>
      <c r="Q131" s="262"/>
    </row>
    <row r="132" spans="3:17" s="263" customFormat="1" ht="25.5" customHeight="1" thickBot="1" x14ac:dyDescent="0.25">
      <c r="C132" s="128"/>
      <c r="D132" s="113" t="s">
        <v>514</v>
      </c>
      <c r="E132" s="114" t="s">
        <v>514</v>
      </c>
      <c r="F132" s="1228" t="s">
        <v>1409</v>
      </c>
      <c r="G132" s="114" t="s">
        <v>1410</v>
      </c>
      <c r="H132" s="111" t="s">
        <v>469</v>
      </c>
      <c r="I132" s="394"/>
      <c r="J132" s="394"/>
      <c r="K132" s="262"/>
      <c r="L132" s="262"/>
      <c r="M132" s="262"/>
      <c r="N132" s="262"/>
      <c r="O132" s="262"/>
      <c r="P132" s="262"/>
      <c r="Q132" s="262"/>
    </row>
    <row r="133" spans="3:17" s="263" customFormat="1" ht="50.1" customHeight="1" thickBot="1" x14ac:dyDescent="0.25">
      <c r="C133" s="421" t="s">
        <v>636</v>
      </c>
      <c r="D133" s="1230">
        <v>-21.89</v>
      </c>
      <c r="E133" s="1235">
        <v>-16.8</v>
      </c>
      <c r="F133" s="1227" t="e">
        <f>VLOOKUP($F$5,'DE-DEL'!$B:$M,9,FALSE)</f>
        <v>#N/A</v>
      </c>
      <c r="G133" s="1226" t="e">
        <f>VLOOKUP($F$5,'DE-DEL'!$B:$M,10,FALSE)+VLOOKUP($F$5,'DE-DEL'!$B:$M,11,FALSE)</f>
        <v>#N/A</v>
      </c>
      <c r="H133" s="112" t="e">
        <f>D133*F133+E133*G133</f>
        <v>#N/A</v>
      </c>
      <c r="I133" s="394"/>
      <c r="J133" s="394"/>
      <c r="K133" s="262"/>
      <c r="L133" s="262"/>
      <c r="M133" s="262"/>
      <c r="N133" s="262"/>
      <c r="O133" s="262"/>
      <c r="P133" s="262"/>
      <c r="Q133" s="262"/>
    </row>
    <row r="134" spans="3:17" s="263" customFormat="1" ht="25.5" customHeight="1" thickBot="1" x14ac:dyDescent="0.25">
      <c r="C134" s="113"/>
      <c r="D134" s="113" t="s">
        <v>514</v>
      </c>
      <c r="E134" s="114" t="s">
        <v>514</v>
      </c>
      <c r="F134" s="1228" t="s">
        <v>1409</v>
      </c>
      <c r="G134" s="114" t="s">
        <v>1410</v>
      </c>
      <c r="H134" s="111" t="s">
        <v>469</v>
      </c>
      <c r="I134" s="394"/>
      <c r="J134" s="394"/>
      <c r="K134" s="262"/>
      <c r="L134" s="262"/>
      <c r="M134" s="262"/>
      <c r="N134" s="262"/>
      <c r="O134" s="262"/>
      <c r="P134" s="262"/>
      <c r="Q134" s="262"/>
    </row>
    <row r="135" spans="3:17" s="263" customFormat="1" ht="50.1" customHeight="1" thickBot="1" x14ac:dyDescent="0.25">
      <c r="C135" s="421" t="s">
        <v>637</v>
      </c>
      <c r="D135" s="1231">
        <v>-1.39</v>
      </c>
      <c r="E135" s="1236">
        <v>0</v>
      </c>
      <c r="F135" s="1227" t="e">
        <f>VLOOKUP($F$5,'DE-DEL'!$B:$M,9,FALSE)</f>
        <v>#N/A</v>
      </c>
      <c r="G135" s="1226" t="e">
        <f>VLOOKUP($F$5,'DE-DEL'!$B:$M,10,FALSE)+VLOOKUP($F$5,'DE-DEL'!$B:$M,11,FALSE)</f>
        <v>#N/A</v>
      </c>
      <c r="H135" s="112" t="e">
        <f>D135*F135+E135*G135</f>
        <v>#N/A</v>
      </c>
      <c r="I135" s="394"/>
      <c r="J135" s="394"/>
      <c r="K135" s="262"/>
      <c r="L135" s="262"/>
      <c r="M135" s="262"/>
      <c r="N135" s="262"/>
      <c r="O135" s="262"/>
      <c r="P135" s="262"/>
      <c r="Q135" s="262"/>
    </row>
    <row r="136" spans="3:17" s="263" customFormat="1" ht="25.5" customHeight="1" thickBot="1" x14ac:dyDescent="0.25">
      <c r="C136" s="127"/>
      <c r="D136" s="1233"/>
      <c r="E136" s="1232"/>
      <c r="F136" s="128"/>
      <c r="G136" s="129"/>
      <c r="H136" s="111" t="s">
        <v>469</v>
      </c>
      <c r="I136" s="394"/>
      <c r="J136" s="394"/>
      <c r="K136" s="262"/>
      <c r="L136" s="262"/>
      <c r="M136" s="262"/>
      <c r="N136" s="262"/>
      <c r="O136" s="262"/>
      <c r="P136" s="262"/>
      <c r="Q136" s="262"/>
    </row>
    <row r="137" spans="3:17" s="263" customFormat="1" ht="25.5" customHeight="1" thickBot="1" x14ac:dyDescent="0.3">
      <c r="C137" s="124" t="s">
        <v>642</v>
      </c>
      <c r="D137" s="109"/>
      <c r="E137" s="110"/>
      <c r="F137" s="109"/>
      <c r="G137" s="110"/>
      <c r="H137" s="108" t="e">
        <f>H121+H123+H125+H127+H129+H131+H133+H135</f>
        <v>#N/A</v>
      </c>
      <c r="I137" s="394"/>
      <c r="J137" s="394"/>
      <c r="K137" s="262"/>
      <c r="L137" s="262"/>
      <c r="M137" s="262"/>
      <c r="N137" s="262"/>
      <c r="O137" s="262"/>
      <c r="P137" s="262"/>
      <c r="Q137" s="262"/>
    </row>
    <row r="138" spans="3:17" s="263" customFormat="1" x14ac:dyDescent="0.2">
      <c r="C138" s="63"/>
      <c r="D138" s="63"/>
      <c r="E138" s="63"/>
      <c r="F138" s="63"/>
      <c r="G138" s="63"/>
      <c r="H138" s="72"/>
      <c r="I138" s="394"/>
      <c r="J138" s="394"/>
      <c r="K138" s="262"/>
      <c r="L138" s="262"/>
      <c r="M138" s="262"/>
      <c r="N138" s="262"/>
      <c r="O138" s="262"/>
      <c r="P138" s="262"/>
      <c r="Q138" s="262"/>
    </row>
    <row r="139" spans="3:17" s="263" customFormat="1" x14ac:dyDescent="0.2">
      <c r="C139" s="63"/>
      <c r="D139" s="63"/>
      <c r="E139" s="63"/>
      <c r="F139" s="63"/>
      <c r="G139" s="63"/>
      <c r="H139" s="72"/>
      <c r="I139" s="394"/>
      <c r="J139" s="394"/>
      <c r="K139" s="262"/>
      <c r="L139" s="262"/>
      <c r="M139" s="262"/>
      <c r="N139" s="262"/>
      <c r="O139" s="262"/>
      <c r="P139" s="262"/>
      <c r="Q139" s="262"/>
    </row>
    <row r="140" spans="3:17" s="263" customFormat="1" x14ac:dyDescent="0.2">
      <c r="C140" s="63"/>
      <c r="D140" s="63"/>
      <c r="E140" s="63"/>
      <c r="F140" s="63"/>
      <c r="G140" s="63"/>
      <c r="H140" s="72"/>
      <c r="I140" s="394"/>
      <c r="J140" s="394"/>
      <c r="K140" s="262"/>
      <c r="L140" s="262"/>
      <c r="M140" s="262"/>
      <c r="N140" s="262"/>
      <c r="O140" s="262"/>
      <c r="P140" s="262"/>
      <c r="Q140" s="262"/>
    </row>
    <row r="141" spans="3:17" s="263" customFormat="1" x14ac:dyDescent="0.2">
      <c r="C141" s="63"/>
      <c r="D141" s="63"/>
      <c r="E141" s="63"/>
      <c r="F141" s="63"/>
      <c r="G141" s="63"/>
      <c r="H141" s="72"/>
      <c r="I141" s="394"/>
      <c r="J141" s="394"/>
      <c r="K141" s="262"/>
      <c r="L141" s="262"/>
      <c r="M141" s="262"/>
      <c r="N141" s="262"/>
      <c r="O141" s="262"/>
      <c r="P141" s="262"/>
      <c r="Q141" s="262"/>
    </row>
    <row r="142" spans="3:17" s="263" customFormat="1" ht="50.1" hidden="1" customHeight="1" thickBot="1" x14ac:dyDescent="0.3">
      <c r="C142" s="1256" t="s">
        <v>1356</v>
      </c>
      <c r="D142" s="1257"/>
      <c r="E142" s="1257"/>
      <c r="F142" s="1257"/>
      <c r="G142" s="1257"/>
      <c r="H142" s="1258"/>
      <c r="I142" s="394"/>
      <c r="J142" s="394"/>
      <c r="K142" s="262"/>
      <c r="L142" s="262"/>
      <c r="M142" s="262"/>
      <c r="N142" s="262"/>
      <c r="O142" s="262"/>
      <c r="P142" s="262"/>
      <c r="Q142" s="262"/>
    </row>
    <row r="143" spans="3:17" s="263" customFormat="1" ht="30.75" hidden="1" thickBot="1" x14ac:dyDescent="0.25">
      <c r="C143" s="127"/>
      <c r="D143" s="76" t="s">
        <v>629</v>
      </c>
      <c r="E143" s="117" t="s">
        <v>630</v>
      </c>
      <c r="F143" s="76" t="s">
        <v>639</v>
      </c>
      <c r="G143" s="117" t="s">
        <v>640</v>
      </c>
      <c r="H143" s="111" t="s">
        <v>469</v>
      </c>
      <c r="I143" s="394"/>
      <c r="J143" s="394"/>
      <c r="K143" s="262"/>
      <c r="L143" s="262"/>
      <c r="M143" s="262"/>
      <c r="N143" s="262"/>
      <c r="O143" s="262"/>
      <c r="P143" s="262"/>
      <c r="Q143" s="262"/>
    </row>
    <row r="144" spans="3:17" s="263" customFormat="1" ht="50.1" hidden="1" customHeight="1" thickBot="1" x14ac:dyDescent="0.25">
      <c r="C144" s="421" t="s">
        <v>635</v>
      </c>
      <c r="D144" s="1229">
        <v>-21.14</v>
      </c>
      <c r="E144" s="1234">
        <v>-21.14</v>
      </c>
      <c r="F144" s="1237" t="e">
        <f>IF($H$137&gt;0,,L$63)</f>
        <v>#N/A</v>
      </c>
      <c r="G144" s="1212" t="e">
        <f>IF($H$137&gt;0,,M$63)</f>
        <v>#N/A</v>
      </c>
      <c r="H144" s="112" t="e">
        <f>D144*F144+E144*G144</f>
        <v>#N/A</v>
      </c>
      <c r="I144" s="394"/>
      <c r="J144" s="394"/>
      <c r="K144" s="262"/>
      <c r="L144" s="262"/>
      <c r="M144" s="262"/>
      <c r="N144" s="262"/>
      <c r="O144" s="262"/>
      <c r="P144" s="262"/>
      <c r="Q144" s="262"/>
    </row>
    <row r="145" spans="3:17" s="263" customFormat="1" ht="25.5" hidden="1" customHeight="1" thickBot="1" x14ac:dyDescent="0.25">
      <c r="C145" s="113"/>
      <c r="D145" s="113" t="s">
        <v>514</v>
      </c>
      <c r="E145" s="114" t="s">
        <v>514</v>
      </c>
      <c r="F145" s="1228" t="s">
        <v>1409</v>
      </c>
      <c r="G145" s="114" t="s">
        <v>1410</v>
      </c>
      <c r="H145" s="111" t="s">
        <v>469</v>
      </c>
      <c r="I145" s="394"/>
      <c r="J145" s="394"/>
      <c r="K145" s="262"/>
      <c r="L145" s="262"/>
      <c r="M145" s="262"/>
      <c r="N145" s="262"/>
      <c r="O145" s="262"/>
      <c r="P145" s="262"/>
      <c r="Q145" s="262"/>
    </row>
    <row r="146" spans="3:17" s="263" customFormat="1" ht="50.1" hidden="1" customHeight="1" thickBot="1" x14ac:dyDescent="0.25">
      <c r="C146" s="421" t="s">
        <v>638</v>
      </c>
      <c r="D146" s="1230">
        <v>-9.6999999999999993</v>
      </c>
      <c r="E146" s="1235">
        <v>-11.93</v>
      </c>
      <c r="F146" s="1237" t="e">
        <f>IF($H$137&gt;0,,L$63)</f>
        <v>#N/A</v>
      </c>
      <c r="G146" s="1212" t="e">
        <f>IF($H$137&gt;0,,M$63)</f>
        <v>#N/A</v>
      </c>
      <c r="H146" s="112" t="e">
        <f>D146*F146+E146*G146</f>
        <v>#N/A</v>
      </c>
      <c r="I146" s="394"/>
      <c r="J146" s="394"/>
      <c r="K146" s="262"/>
      <c r="L146" s="262"/>
      <c r="M146" s="262"/>
      <c r="N146" s="262"/>
      <c r="O146" s="262"/>
      <c r="P146" s="262"/>
      <c r="Q146" s="262"/>
    </row>
    <row r="147" spans="3:17" s="263" customFormat="1" ht="25.5" hidden="1" customHeight="1" thickBot="1" x14ac:dyDescent="0.25">
      <c r="C147" s="128"/>
      <c r="D147" s="113" t="s">
        <v>514</v>
      </c>
      <c r="E147" s="114" t="s">
        <v>514</v>
      </c>
      <c r="F147" s="1228" t="s">
        <v>1409</v>
      </c>
      <c r="G147" s="114" t="s">
        <v>1410</v>
      </c>
      <c r="H147" s="111" t="s">
        <v>469</v>
      </c>
      <c r="I147" s="394"/>
      <c r="J147" s="394"/>
      <c r="K147" s="262"/>
      <c r="L147" s="262"/>
      <c r="M147" s="262"/>
      <c r="N147" s="262"/>
      <c r="O147" s="262"/>
      <c r="P147" s="262"/>
      <c r="Q147" s="262"/>
    </row>
    <row r="148" spans="3:17" s="263" customFormat="1" ht="50.1" hidden="1" customHeight="1" thickBot="1" x14ac:dyDescent="0.25">
      <c r="C148" s="421" t="s">
        <v>1411</v>
      </c>
      <c r="D148" s="1231">
        <v>-21.89</v>
      </c>
      <c r="E148" s="1236">
        <v>-16.8</v>
      </c>
      <c r="F148" s="1237" t="e">
        <f>IF($H$137&gt;0,,L$63)</f>
        <v>#N/A</v>
      </c>
      <c r="G148" s="1212" t="e">
        <f>IF($H$137&gt;0,,M$63)</f>
        <v>#N/A</v>
      </c>
      <c r="H148" s="112" t="e">
        <f>D148*F148+E148*G148</f>
        <v>#N/A</v>
      </c>
      <c r="I148" s="394"/>
      <c r="J148" s="394"/>
      <c r="K148" s="262"/>
      <c r="L148" s="262"/>
      <c r="M148" s="262"/>
      <c r="N148" s="262"/>
      <c r="O148" s="262"/>
      <c r="P148" s="262"/>
      <c r="Q148" s="262"/>
    </row>
    <row r="149" spans="3:17" s="263" customFormat="1" ht="25.5" hidden="1" customHeight="1" thickBot="1" x14ac:dyDescent="0.25">
      <c r="C149" s="126"/>
      <c r="D149" s="1239"/>
      <c r="E149" s="1238"/>
      <c r="F149" s="113"/>
      <c r="G149" s="114"/>
      <c r="H149" s="111" t="s">
        <v>469</v>
      </c>
      <c r="I149" s="394"/>
      <c r="J149" s="394"/>
      <c r="K149" s="262"/>
      <c r="L149" s="262"/>
      <c r="M149" s="262"/>
      <c r="N149" s="262"/>
      <c r="O149" s="262"/>
      <c r="P149" s="262"/>
      <c r="Q149" s="262"/>
    </row>
    <row r="150" spans="3:17" s="263" customFormat="1" ht="25.5" hidden="1" customHeight="1" thickBot="1" x14ac:dyDescent="0.3">
      <c r="C150" s="124" t="s">
        <v>643</v>
      </c>
      <c r="D150" s="109"/>
      <c r="E150" s="110"/>
      <c r="F150" s="109"/>
      <c r="G150" s="110"/>
      <c r="H150" s="108" t="e">
        <f>H148+H146+H144</f>
        <v>#N/A</v>
      </c>
      <c r="I150" s="394"/>
      <c r="J150" s="394"/>
      <c r="K150" s="262"/>
      <c r="L150" s="262"/>
      <c r="M150" s="262"/>
      <c r="N150" s="262"/>
      <c r="O150" s="262"/>
      <c r="P150" s="262"/>
      <c r="Q150" s="262"/>
    </row>
    <row r="151" spans="3:17" s="263" customFormat="1" hidden="1" x14ac:dyDescent="0.2">
      <c r="H151" s="394"/>
      <c r="I151" s="394"/>
      <c r="J151" s="394"/>
      <c r="K151" s="262"/>
      <c r="L151" s="262"/>
      <c r="M151" s="262"/>
      <c r="N151" s="262"/>
      <c r="O151" s="262"/>
      <c r="P151" s="262"/>
      <c r="Q151" s="262"/>
    </row>
    <row r="152" spans="3:17" s="263" customFormat="1" x14ac:dyDescent="0.2">
      <c r="H152" s="394"/>
      <c r="I152" s="394"/>
      <c r="J152" s="394"/>
      <c r="K152" s="262"/>
      <c r="L152" s="262"/>
      <c r="M152" s="262"/>
      <c r="N152" s="262"/>
      <c r="O152" s="262"/>
      <c r="P152" s="262"/>
      <c r="Q152" s="262"/>
    </row>
    <row r="153" spans="3:17" s="263" customFormat="1" x14ac:dyDescent="0.2">
      <c r="H153" s="394"/>
      <c r="I153" s="394"/>
      <c r="J153" s="394"/>
      <c r="K153" s="262"/>
      <c r="L153" s="262"/>
      <c r="M153" s="262"/>
      <c r="N153" s="262"/>
      <c r="O153" s="262"/>
      <c r="P153" s="262"/>
      <c r="Q153" s="262"/>
    </row>
    <row r="154" spans="3:17" s="263" customFormat="1" x14ac:dyDescent="0.2">
      <c r="H154" s="394"/>
      <c r="I154" s="394"/>
      <c r="J154" s="394"/>
      <c r="K154" s="262"/>
      <c r="L154" s="262"/>
      <c r="M154" s="262"/>
      <c r="N154" s="262"/>
      <c r="O154" s="262"/>
      <c r="P154" s="262"/>
      <c r="Q154" s="262"/>
    </row>
    <row r="155" spans="3:17" s="263" customFormat="1" x14ac:dyDescent="0.2">
      <c r="H155" s="394"/>
      <c r="I155" s="394"/>
      <c r="J155" s="394"/>
      <c r="K155" s="262"/>
      <c r="L155" s="262"/>
      <c r="M155" s="262"/>
      <c r="N155" s="262"/>
      <c r="O155" s="262"/>
      <c r="P155" s="262"/>
      <c r="Q155" s="262"/>
    </row>
    <row r="156" spans="3:17" s="263" customFormat="1" x14ac:dyDescent="0.2">
      <c r="H156" s="394"/>
      <c r="I156" s="394"/>
      <c r="J156" s="394"/>
      <c r="K156" s="262"/>
      <c r="L156" s="262"/>
      <c r="M156" s="262"/>
      <c r="N156" s="262"/>
      <c r="O156" s="262"/>
      <c r="P156" s="262"/>
      <c r="Q156" s="262"/>
    </row>
    <row r="157" spans="3:17" s="263" customFormat="1" x14ac:dyDescent="0.2">
      <c r="H157" s="394"/>
      <c r="I157" s="394"/>
      <c r="J157" s="394"/>
      <c r="K157" s="262"/>
      <c r="L157" s="262"/>
      <c r="M157" s="262"/>
      <c r="N157" s="262"/>
      <c r="O157" s="262"/>
      <c r="P157" s="262"/>
      <c r="Q157" s="262"/>
    </row>
    <row r="158" spans="3:17" s="263" customFormat="1" x14ac:dyDescent="0.2">
      <c r="H158" s="394"/>
      <c r="I158" s="394"/>
      <c r="J158" s="394"/>
      <c r="K158" s="262"/>
      <c r="L158" s="262"/>
      <c r="M158" s="262"/>
      <c r="N158" s="262"/>
      <c r="O158" s="262"/>
      <c r="P158" s="262"/>
      <c r="Q158" s="262"/>
    </row>
    <row r="159" spans="3:17" s="263" customFormat="1" x14ac:dyDescent="0.2">
      <c r="H159" s="394"/>
      <c r="I159" s="394"/>
      <c r="J159" s="394"/>
      <c r="K159" s="262"/>
      <c r="L159" s="262"/>
      <c r="M159" s="262"/>
      <c r="N159" s="262"/>
      <c r="O159" s="262"/>
      <c r="P159" s="262"/>
      <c r="Q159" s="262"/>
    </row>
    <row r="160" spans="3:17" s="263" customFormat="1" x14ac:dyDescent="0.2">
      <c r="H160" s="394"/>
      <c r="I160" s="394"/>
      <c r="J160" s="394"/>
      <c r="K160" s="262"/>
      <c r="L160" s="262"/>
      <c r="M160" s="262"/>
      <c r="N160" s="262"/>
      <c r="O160" s="262"/>
      <c r="P160" s="262"/>
      <c r="Q160" s="262"/>
    </row>
    <row r="161" spans="8:17" s="263" customFormat="1" x14ac:dyDescent="0.2">
      <c r="H161" s="394"/>
      <c r="I161" s="394"/>
      <c r="J161" s="394"/>
      <c r="K161" s="262"/>
      <c r="L161" s="262"/>
      <c r="M161" s="262"/>
      <c r="N161" s="262"/>
      <c r="O161" s="262"/>
      <c r="P161" s="262"/>
      <c r="Q161" s="262"/>
    </row>
    <row r="162" spans="8:17" s="263" customFormat="1" x14ac:dyDescent="0.2">
      <c r="H162" s="394"/>
      <c r="I162" s="394"/>
      <c r="J162" s="394"/>
      <c r="K162" s="262"/>
      <c r="L162" s="262"/>
      <c r="M162" s="262"/>
      <c r="N162" s="262"/>
      <c r="O162" s="262"/>
      <c r="P162" s="262"/>
      <c r="Q162" s="262"/>
    </row>
    <row r="163" spans="8:17" s="263" customFormat="1" x14ac:dyDescent="0.2">
      <c r="H163" s="394"/>
      <c r="I163" s="394"/>
      <c r="J163" s="394"/>
      <c r="K163" s="262"/>
      <c r="L163" s="262"/>
      <c r="M163" s="262"/>
      <c r="N163" s="262"/>
      <c r="O163" s="262"/>
      <c r="P163" s="262"/>
      <c r="Q163" s="262"/>
    </row>
    <row r="164" spans="8:17" s="263" customFormat="1" x14ac:dyDescent="0.2">
      <c r="H164" s="394"/>
      <c r="I164" s="394"/>
      <c r="J164" s="394"/>
      <c r="K164" s="262"/>
      <c r="L164" s="262"/>
      <c r="M164" s="262"/>
      <c r="N164" s="262"/>
      <c r="O164" s="262"/>
      <c r="P164" s="262"/>
      <c r="Q164" s="262"/>
    </row>
    <row r="165" spans="8:17" s="263" customFormat="1" x14ac:dyDescent="0.2">
      <c r="H165" s="394"/>
      <c r="I165" s="394"/>
      <c r="J165" s="394"/>
      <c r="K165" s="262"/>
      <c r="L165" s="262"/>
      <c r="M165" s="262"/>
      <c r="N165" s="262"/>
      <c r="O165" s="262"/>
      <c r="P165" s="262"/>
      <c r="Q165" s="262"/>
    </row>
    <row r="166" spans="8:17" s="263" customFormat="1" x14ac:dyDescent="0.2">
      <c r="H166" s="394"/>
      <c r="I166" s="394"/>
      <c r="J166" s="394"/>
      <c r="K166" s="262"/>
      <c r="L166" s="262"/>
      <c r="M166" s="262"/>
      <c r="N166" s="262"/>
      <c r="O166" s="262"/>
      <c r="P166" s="262"/>
      <c r="Q166" s="262"/>
    </row>
    <row r="167" spans="8:17" s="263" customFormat="1" x14ac:dyDescent="0.2">
      <c r="H167" s="394"/>
      <c r="I167" s="394"/>
      <c r="J167" s="394"/>
      <c r="K167" s="262"/>
      <c r="L167" s="262"/>
      <c r="M167" s="262"/>
      <c r="N167" s="262"/>
      <c r="O167" s="262"/>
      <c r="P167" s="262"/>
      <c r="Q167" s="262"/>
    </row>
    <row r="168" spans="8:17" s="263" customFormat="1" x14ac:dyDescent="0.2">
      <c r="H168" s="394"/>
      <c r="I168" s="394"/>
      <c r="J168" s="394"/>
      <c r="K168" s="262"/>
      <c r="L168" s="262"/>
      <c r="M168" s="262"/>
      <c r="N168" s="262"/>
      <c r="O168" s="262"/>
      <c r="P168" s="262"/>
      <c r="Q168" s="262"/>
    </row>
    <row r="169" spans="8:17" s="263" customFormat="1" x14ac:dyDescent="0.2">
      <c r="H169" s="394"/>
      <c r="I169" s="394"/>
      <c r="J169" s="394"/>
      <c r="K169" s="262"/>
      <c r="L169" s="262"/>
      <c r="M169" s="262"/>
      <c r="N169" s="262"/>
      <c r="O169" s="262"/>
      <c r="P169" s="262"/>
      <c r="Q169" s="262"/>
    </row>
    <row r="170" spans="8:17" s="263" customFormat="1" x14ac:dyDescent="0.2">
      <c r="H170" s="394"/>
      <c r="I170" s="394"/>
      <c r="J170" s="394"/>
      <c r="K170" s="262"/>
      <c r="L170" s="262"/>
      <c r="M170" s="262"/>
      <c r="N170" s="262"/>
      <c r="O170" s="262"/>
      <c r="P170" s="262"/>
      <c r="Q170" s="262"/>
    </row>
    <row r="171" spans="8:17" s="263" customFormat="1" x14ac:dyDescent="0.2">
      <c r="H171" s="394"/>
      <c r="I171" s="394"/>
      <c r="J171" s="394"/>
      <c r="K171" s="262"/>
      <c r="L171" s="262"/>
      <c r="M171" s="262"/>
      <c r="N171" s="262"/>
      <c r="O171" s="262"/>
      <c r="P171" s="262"/>
      <c r="Q171" s="262"/>
    </row>
    <row r="172" spans="8:17" s="263" customFormat="1" x14ac:dyDescent="0.2">
      <c r="H172" s="394"/>
      <c r="I172" s="394"/>
      <c r="J172" s="394"/>
      <c r="K172" s="262"/>
      <c r="L172" s="262"/>
      <c r="M172" s="262"/>
      <c r="N172" s="262"/>
      <c r="O172" s="262"/>
      <c r="P172" s="262"/>
      <c r="Q172" s="262"/>
    </row>
    <row r="173" spans="8:17" s="263" customFormat="1" x14ac:dyDescent="0.2">
      <c r="H173" s="394"/>
      <c r="I173" s="394"/>
      <c r="J173" s="394"/>
      <c r="K173" s="262"/>
      <c r="L173" s="262"/>
      <c r="M173" s="262"/>
      <c r="N173" s="262"/>
      <c r="O173" s="262"/>
      <c r="P173" s="262"/>
      <c r="Q173" s="262"/>
    </row>
    <row r="174" spans="8:17" s="263" customFormat="1" x14ac:dyDescent="0.2">
      <c r="H174" s="394"/>
      <c r="I174" s="394"/>
      <c r="J174" s="394"/>
      <c r="K174" s="262"/>
      <c r="L174" s="262"/>
      <c r="M174" s="262"/>
      <c r="N174" s="262"/>
      <c r="O174" s="262"/>
      <c r="P174" s="262"/>
      <c r="Q174" s="262"/>
    </row>
    <row r="175" spans="8:17" s="263" customFormat="1" x14ac:dyDescent="0.2">
      <c r="H175" s="394"/>
      <c r="I175" s="394"/>
      <c r="J175" s="394"/>
      <c r="K175" s="262"/>
      <c r="L175" s="262"/>
      <c r="M175" s="262"/>
      <c r="N175" s="262"/>
      <c r="O175" s="262"/>
      <c r="P175" s="262"/>
      <c r="Q175" s="262"/>
    </row>
    <row r="176" spans="8:17" s="263" customFormat="1" x14ac:dyDescent="0.2">
      <c r="H176" s="394"/>
      <c r="I176" s="394"/>
      <c r="J176" s="394"/>
      <c r="K176" s="262"/>
      <c r="L176" s="262"/>
      <c r="M176" s="262"/>
      <c r="N176" s="262"/>
      <c r="O176" s="262"/>
      <c r="P176" s="262"/>
      <c r="Q176" s="262"/>
    </row>
    <row r="177" spans="8:17" s="263" customFormat="1" x14ac:dyDescent="0.2">
      <c r="H177" s="394"/>
      <c r="I177" s="394"/>
      <c r="J177" s="394"/>
      <c r="K177" s="262"/>
      <c r="L177" s="262"/>
      <c r="M177" s="262"/>
      <c r="N177" s="262"/>
      <c r="O177" s="262"/>
      <c r="P177" s="262"/>
      <c r="Q177" s="262"/>
    </row>
    <row r="178" spans="8:17" s="263" customFormat="1" x14ac:dyDescent="0.2">
      <c r="H178" s="394"/>
      <c r="I178" s="394"/>
      <c r="J178" s="394"/>
      <c r="K178" s="262"/>
      <c r="L178" s="262"/>
      <c r="M178" s="262"/>
      <c r="N178" s="262"/>
      <c r="O178" s="262"/>
      <c r="P178" s="262"/>
      <c r="Q178" s="262"/>
    </row>
    <row r="179" spans="8:17" s="263" customFormat="1" x14ac:dyDescent="0.2">
      <c r="H179" s="394"/>
      <c r="I179" s="394"/>
      <c r="J179" s="394"/>
      <c r="K179" s="262"/>
      <c r="L179" s="262"/>
      <c r="M179" s="262"/>
      <c r="N179" s="262"/>
      <c r="O179" s="262"/>
      <c r="P179" s="262"/>
      <c r="Q179" s="262"/>
    </row>
    <row r="180" spans="8:17" s="263" customFormat="1" x14ac:dyDescent="0.2">
      <c r="H180" s="394"/>
      <c r="I180" s="394"/>
      <c r="J180" s="394"/>
      <c r="K180" s="262"/>
      <c r="L180" s="262"/>
      <c r="M180" s="262"/>
      <c r="N180" s="262"/>
      <c r="O180" s="262"/>
      <c r="P180" s="262"/>
      <c r="Q180" s="262"/>
    </row>
    <row r="181" spans="8:17" s="263" customFormat="1" x14ac:dyDescent="0.2">
      <c r="H181" s="394"/>
      <c r="I181" s="394"/>
      <c r="J181" s="394"/>
      <c r="K181" s="262"/>
      <c r="L181" s="262"/>
      <c r="M181" s="262"/>
      <c r="N181" s="262"/>
      <c r="O181" s="262"/>
      <c r="P181" s="262"/>
      <c r="Q181" s="262"/>
    </row>
    <row r="182" spans="8:17" s="263" customFormat="1" x14ac:dyDescent="0.2">
      <c r="H182" s="394"/>
      <c r="I182" s="394"/>
      <c r="J182" s="394"/>
      <c r="K182" s="262"/>
      <c r="L182" s="262"/>
      <c r="M182" s="262"/>
      <c r="N182" s="262"/>
      <c r="O182" s="262"/>
      <c r="P182" s="262"/>
      <c r="Q182" s="262"/>
    </row>
    <row r="183" spans="8:17" s="263" customFormat="1" x14ac:dyDescent="0.2">
      <c r="H183" s="394"/>
      <c r="I183" s="394"/>
      <c r="J183" s="394"/>
      <c r="K183" s="262"/>
      <c r="L183" s="262"/>
      <c r="M183" s="262"/>
      <c r="N183" s="262"/>
      <c r="O183" s="262"/>
      <c r="P183" s="262"/>
      <c r="Q183" s="262"/>
    </row>
    <row r="184" spans="8:17" s="263" customFormat="1" x14ac:dyDescent="0.2">
      <c r="H184" s="394"/>
      <c r="I184" s="394"/>
      <c r="J184" s="394"/>
      <c r="K184" s="262"/>
      <c r="L184" s="262"/>
      <c r="M184" s="262"/>
      <c r="N184" s="262"/>
      <c r="O184" s="262"/>
      <c r="P184" s="262"/>
      <c r="Q184" s="262"/>
    </row>
    <row r="185" spans="8:17" s="263" customFormat="1" x14ac:dyDescent="0.2">
      <c r="H185" s="394"/>
      <c r="I185" s="394"/>
      <c r="J185" s="394"/>
      <c r="K185" s="262"/>
      <c r="L185" s="262"/>
      <c r="M185" s="262"/>
      <c r="N185" s="262"/>
      <c r="O185" s="262"/>
      <c r="P185" s="262"/>
      <c r="Q185" s="262"/>
    </row>
    <row r="186" spans="8:17" s="263" customFormat="1" x14ac:dyDescent="0.2">
      <c r="H186" s="394"/>
      <c r="I186" s="394"/>
      <c r="J186" s="394"/>
      <c r="K186" s="262"/>
      <c r="L186" s="262"/>
      <c r="M186" s="262"/>
      <c r="N186" s="262"/>
      <c r="O186" s="262"/>
      <c r="P186" s="262"/>
      <c r="Q186" s="262"/>
    </row>
    <row r="187" spans="8:17" s="263" customFormat="1" x14ac:dyDescent="0.2">
      <c r="H187" s="394"/>
      <c r="I187" s="394"/>
      <c r="J187" s="394"/>
      <c r="K187" s="262"/>
      <c r="L187" s="262"/>
      <c r="M187" s="262"/>
      <c r="N187" s="262"/>
      <c r="O187" s="262"/>
      <c r="P187" s="262"/>
      <c r="Q187" s="262"/>
    </row>
    <row r="188" spans="8:17" s="263" customFormat="1" x14ac:dyDescent="0.2">
      <c r="H188" s="394"/>
      <c r="I188" s="394"/>
      <c r="J188" s="394"/>
      <c r="K188" s="262"/>
      <c r="L188" s="262"/>
      <c r="M188" s="262"/>
      <c r="N188" s="262"/>
      <c r="O188" s="262"/>
      <c r="P188" s="262"/>
      <c r="Q188" s="262"/>
    </row>
    <row r="189" spans="8:17" s="263" customFormat="1" x14ac:dyDescent="0.2">
      <c r="H189" s="394"/>
      <c r="I189" s="394"/>
      <c r="J189" s="394"/>
      <c r="K189" s="262"/>
      <c r="L189" s="262"/>
      <c r="M189" s="262"/>
      <c r="N189" s="262"/>
      <c r="O189" s="262"/>
      <c r="P189" s="262"/>
      <c r="Q189" s="262"/>
    </row>
    <row r="190" spans="8:17" s="263" customFormat="1" x14ac:dyDescent="0.2">
      <c r="H190" s="394"/>
      <c r="I190" s="394"/>
      <c r="J190" s="394"/>
      <c r="K190" s="262"/>
      <c r="L190" s="262"/>
      <c r="M190" s="262"/>
      <c r="N190" s="262"/>
      <c r="O190" s="262"/>
      <c r="P190" s="262"/>
      <c r="Q190" s="262"/>
    </row>
    <row r="191" spans="8:17" s="263" customFormat="1" x14ac:dyDescent="0.2">
      <c r="H191" s="394"/>
      <c r="I191" s="394"/>
      <c r="J191" s="394"/>
      <c r="K191" s="262"/>
      <c r="L191" s="262"/>
      <c r="M191" s="262"/>
      <c r="N191" s="262"/>
      <c r="O191" s="262"/>
      <c r="P191" s="262"/>
      <c r="Q191" s="262"/>
    </row>
    <row r="192" spans="8:17" s="263" customFormat="1" x14ac:dyDescent="0.2">
      <c r="H192" s="394"/>
      <c r="I192" s="394"/>
      <c r="J192" s="394"/>
      <c r="K192" s="262"/>
      <c r="L192" s="262"/>
      <c r="M192" s="262"/>
      <c r="N192" s="262"/>
      <c r="O192" s="262"/>
      <c r="P192" s="262"/>
      <c r="Q192" s="262"/>
    </row>
    <row r="193" spans="8:17" s="263" customFormat="1" x14ac:dyDescent="0.2">
      <c r="H193" s="394"/>
      <c r="I193" s="394"/>
      <c r="J193" s="394"/>
      <c r="K193" s="262"/>
      <c r="L193" s="262"/>
      <c r="M193" s="262"/>
      <c r="N193" s="262"/>
      <c r="O193" s="262"/>
      <c r="P193" s="262"/>
      <c r="Q193" s="262"/>
    </row>
    <row r="194" spans="8:17" s="263" customFormat="1" x14ac:dyDescent="0.2">
      <c r="H194" s="394"/>
      <c r="I194" s="394"/>
      <c r="J194" s="394"/>
      <c r="K194" s="262"/>
      <c r="L194" s="262"/>
      <c r="M194" s="262"/>
      <c r="N194" s="262"/>
      <c r="O194" s="262"/>
      <c r="P194" s="262"/>
      <c r="Q194" s="262"/>
    </row>
    <row r="195" spans="8:17" s="263" customFormat="1" x14ac:dyDescent="0.2">
      <c r="H195" s="394"/>
      <c r="I195" s="394"/>
      <c r="J195" s="394"/>
      <c r="K195" s="262"/>
      <c r="L195" s="262"/>
      <c r="M195" s="262"/>
      <c r="N195" s="262"/>
      <c r="O195" s="262"/>
      <c r="P195" s="262"/>
      <c r="Q195" s="262"/>
    </row>
    <row r="196" spans="8:17" s="263" customFormat="1" x14ac:dyDescent="0.2">
      <c r="H196" s="394"/>
      <c r="I196" s="394"/>
      <c r="J196" s="394"/>
      <c r="K196" s="262"/>
      <c r="L196" s="262"/>
      <c r="M196" s="262"/>
      <c r="N196" s="262"/>
      <c r="O196" s="262"/>
      <c r="P196" s="262"/>
      <c r="Q196" s="262"/>
    </row>
    <row r="197" spans="8:17" s="263" customFormat="1" x14ac:dyDescent="0.2">
      <c r="H197" s="394"/>
      <c r="I197" s="394"/>
      <c r="J197" s="394"/>
      <c r="K197" s="262"/>
      <c r="L197" s="262"/>
      <c r="M197" s="262"/>
      <c r="N197" s="262"/>
      <c r="O197" s="262"/>
      <c r="P197" s="262"/>
      <c r="Q197" s="262"/>
    </row>
    <row r="198" spans="8:17" s="263" customFormat="1" x14ac:dyDescent="0.2">
      <c r="H198" s="394"/>
      <c r="I198" s="394"/>
      <c r="J198" s="394"/>
      <c r="K198" s="262"/>
      <c r="L198" s="262"/>
      <c r="M198" s="262"/>
      <c r="N198" s="262"/>
      <c r="O198" s="262"/>
      <c r="P198" s="262"/>
      <c r="Q198" s="262"/>
    </row>
    <row r="199" spans="8:17" s="263" customFormat="1" x14ac:dyDescent="0.2">
      <c r="H199" s="394"/>
      <c r="I199" s="394"/>
      <c r="J199" s="394"/>
      <c r="K199" s="262"/>
      <c r="L199" s="262"/>
      <c r="M199" s="262"/>
      <c r="N199" s="262"/>
      <c r="O199" s="262"/>
      <c r="P199" s="262"/>
      <c r="Q199" s="262"/>
    </row>
    <row r="200" spans="8:17" s="263" customFormat="1" x14ac:dyDescent="0.2">
      <c r="H200" s="394"/>
      <c r="I200" s="394"/>
      <c r="J200" s="394"/>
      <c r="K200" s="262"/>
      <c r="L200" s="262"/>
      <c r="M200" s="262"/>
      <c r="N200" s="262"/>
      <c r="O200" s="262"/>
      <c r="P200" s="262"/>
      <c r="Q200" s="262"/>
    </row>
    <row r="201" spans="8:17" s="263" customFormat="1" x14ac:dyDescent="0.2">
      <c r="H201" s="394"/>
      <c r="I201" s="394"/>
      <c r="J201" s="394"/>
      <c r="K201" s="262"/>
      <c r="L201" s="262"/>
      <c r="M201" s="262"/>
      <c r="N201" s="262"/>
      <c r="O201" s="262"/>
      <c r="P201" s="262"/>
      <c r="Q201" s="262"/>
    </row>
    <row r="202" spans="8:17" s="263" customFormat="1" x14ac:dyDescent="0.2">
      <c r="H202" s="394"/>
      <c r="I202" s="394"/>
      <c r="J202" s="394"/>
      <c r="K202" s="262"/>
      <c r="L202" s="262"/>
      <c r="M202" s="262"/>
      <c r="N202" s="262"/>
      <c r="O202" s="262"/>
      <c r="P202" s="262"/>
      <c r="Q202" s="262"/>
    </row>
    <row r="203" spans="8:17" s="263" customFormat="1" x14ac:dyDescent="0.2">
      <c r="H203" s="394"/>
      <c r="I203" s="394"/>
      <c r="J203" s="394"/>
      <c r="K203" s="262"/>
      <c r="L203" s="262"/>
      <c r="M203" s="262"/>
      <c r="N203" s="262"/>
      <c r="O203" s="262"/>
      <c r="P203" s="262"/>
      <c r="Q203" s="262"/>
    </row>
    <row r="204" spans="8:17" s="263" customFormat="1" x14ac:dyDescent="0.2">
      <c r="H204" s="394"/>
      <c r="I204" s="394"/>
      <c r="J204" s="394"/>
      <c r="K204" s="262"/>
      <c r="L204" s="262"/>
      <c r="M204" s="262"/>
      <c r="N204" s="262"/>
      <c r="O204" s="262"/>
      <c r="P204" s="262"/>
      <c r="Q204" s="262"/>
    </row>
    <row r="205" spans="8:17" s="263" customFormat="1" x14ac:dyDescent="0.2">
      <c r="H205" s="394"/>
      <c r="I205" s="394"/>
      <c r="J205" s="394"/>
      <c r="K205" s="262"/>
      <c r="L205" s="262"/>
      <c r="M205" s="262"/>
      <c r="N205" s="262"/>
      <c r="O205" s="262"/>
      <c r="P205" s="262"/>
      <c r="Q205" s="262"/>
    </row>
    <row r="206" spans="8:17" s="263" customFormat="1" x14ac:dyDescent="0.2">
      <c r="H206" s="394"/>
      <c r="I206" s="394"/>
      <c r="J206" s="394"/>
      <c r="K206" s="262"/>
      <c r="L206" s="262"/>
      <c r="M206" s="262"/>
      <c r="N206" s="262"/>
      <c r="O206" s="262"/>
      <c r="P206" s="262"/>
      <c r="Q206" s="262"/>
    </row>
    <row r="207" spans="8:17" s="263" customFormat="1" x14ac:dyDescent="0.2">
      <c r="H207" s="394"/>
      <c r="I207" s="394"/>
      <c r="J207" s="394"/>
      <c r="K207" s="262"/>
      <c r="L207" s="262"/>
      <c r="M207" s="262"/>
      <c r="N207" s="262"/>
      <c r="O207" s="262"/>
      <c r="P207" s="262"/>
      <c r="Q207" s="262"/>
    </row>
    <row r="208" spans="8:17" s="263" customFormat="1" x14ac:dyDescent="0.2">
      <c r="H208" s="394"/>
      <c r="I208" s="394"/>
      <c r="J208" s="394"/>
      <c r="K208" s="262"/>
      <c r="L208" s="262"/>
      <c r="M208" s="262"/>
      <c r="N208" s="262"/>
      <c r="O208" s="262"/>
      <c r="P208" s="262"/>
      <c r="Q208" s="262"/>
    </row>
    <row r="209" spans="8:17" s="263" customFormat="1" x14ac:dyDescent="0.2">
      <c r="H209" s="394"/>
      <c r="I209" s="394"/>
      <c r="J209" s="394"/>
      <c r="K209" s="262"/>
      <c r="L209" s="262"/>
      <c r="M209" s="262"/>
      <c r="N209" s="262"/>
      <c r="O209" s="262"/>
      <c r="P209" s="262"/>
      <c r="Q209" s="262"/>
    </row>
    <row r="210" spans="8:17" s="263" customFormat="1" x14ac:dyDescent="0.2">
      <c r="H210" s="394"/>
      <c r="I210" s="394"/>
      <c r="J210" s="394"/>
      <c r="K210" s="262"/>
      <c r="L210" s="262"/>
      <c r="M210" s="262"/>
      <c r="N210" s="262"/>
      <c r="O210" s="262"/>
      <c r="P210" s="262"/>
      <c r="Q210" s="262"/>
    </row>
    <row r="211" spans="8:17" s="263" customFormat="1" x14ac:dyDescent="0.2">
      <c r="H211" s="394"/>
      <c r="I211" s="394"/>
      <c r="J211" s="394"/>
      <c r="K211" s="262"/>
      <c r="L211" s="262"/>
      <c r="M211" s="262"/>
      <c r="N211" s="262"/>
      <c r="O211" s="262"/>
      <c r="P211" s="262"/>
      <c r="Q211" s="262"/>
    </row>
    <row r="212" spans="8:17" s="263" customFormat="1" x14ac:dyDescent="0.2">
      <c r="H212" s="394"/>
      <c r="I212" s="394"/>
      <c r="J212" s="394"/>
      <c r="K212" s="262"/>
      <c r="L212" s="262"/>
      <c r="M212" s="262"/>
      <c r="N212" s="262"/>
      <c r="O212" s="262"/>
      <c r="P212" s="262"/>
      <c r="Q212" s="262"/>
    </row>
    <row r="213" spans="8:17" s="263" customFormat="1" x14ac:dyDescent="0.2">
      <c r="H213" s="394"/>
      <c r="I213" s="394"/>
      <c r="J213" s="394"/>
      <c r="K213" s="262"/>
      <c r="L213" s="262"/>
      <c r="M213" s="262"/>
      <c r="N213" s="262"/>
      <c r="O213" s="262"/>
      <c r="P213" s="262"/>
      <c r="Q213" s="262"/>
    </row>
    <row r="214" spans="8:17" s="263" customFormat="1" x14ac:dyDescent="0.2">
      <c r="H214" s="394"/>
      <c r="I214" s="394"/>
      <c r="J214" s="394"/>
      <c r="K214" s="262"/>
      <c r="L214" s="262"/>
      <c r="M214" s="262"/>
      <c r="N214" s="262"/>
      <c r="O214" s="262"/>
      <c r="P214" s="262"/>
      <c r="Q214" s="262"/>
    </row>
    <row r="215" spans="8:17" s="263" customFormat="1" x14ac:dyDescent="0.2">
      <c r="H215" s="394"/>
      <c r="I215" s="394"/>
      <c r="J215" s="394"/>
      <c r="K215" s="262"/>
      <c r="L215" s="262"/>
      <c r="M215" s="262"/>
      <c r="N215" s="262"/>
      <c r="O215" s="262"/>
      <c r="P215" s="262"/>
      <c r="Q215" s="262"/>
    </row>
    <row r="216" spans="8:17" s="263" customFormat="1" x14ac:dyDescent="0.2">
      <c r="H216" s="394"/>
      <c r="I216" s="394"/>
      <c r="J216" s="394"/>
      <c r="K216" s="262"/>
      <c r="L216" s="262"/>
      <c r="M216" s="262"/>
      <c r="N216" s="262"/>
      <c r="O216" s="262"/>
      <c r="P216" s="262"/>
      <c r="Q216" s="262"/>
    </row>
    <row r="217" spans="8:17" s="263" customFormat="1" x14ac:dyDescent="0.2">
      <c r="H217" s="394"/>
      <c r="I217" s="394"/>
      <c r="J217" s="394"/>
      <c r="K217" s="262"/>
      <c r="L217" s="262"/>
      <c r="M217" s="262"/>
      <c r="N217" s="262"/>
      <c r="O217" s="262"/>
      <c r="P217" s="262"/>
      <c r="Q217" s="262"/>
    </row>
    <row r="218" spans="8:17" s="263" customFormat="1" x14ac:dyDescent="0.2">
      <c r="H218" s="394"/>
      <c r="I218" s="394"/>
      <c r="J218" s="394"/>
      <c r="K218" s="262"/>
      <c r="L218" s="262"/>
      <c r="M218" s="262"/>
      <c r="N218" s="262"/>
      <c r="O218" s="262"/>
      <c r="P218" s="262"/>
      <c r="Q218" s="262"/>
    </row>
    <row r="219" spans="8:17" s="263" customFormat="1" x14ac:dyDescent="0.2">
      <c r="H219" s="394"/>
      <c r="I219" s="394"/>
      <c r="J219" s="394"/>
      <c r="K219" s="262"/>
      <c r="L219" s="262"/>
      <c r="M219" s="262"/>
      <c r="N219" s="262"/>
      <c r="O219" s="262"/>
      <c r="P219" s="262"/>
      <c r="Q219" s="262"/>
    </row>
    <row r="220" spans="8:17" s="263" customFormat="1" x14ac:dyDescent="0.2">
      <c r="H220" s="394"/>
      <c r="I220" s="394"/>
      <c r="J220" s="394"/>
      <c r="K220" s="262"/>
      <c r="L220" s="262"/>
      <c r="M220" s="262"/>
      <c r="N220" s="262"/>
      <c r="O220" s="262"/>
      <c r="P220" s="262"/>
      <c r="Q220" s="262"/>
    </row>
    <row r="221" spans="8:17" s="263" customFormat="1" x14ac:dyDescent="0.2">
      <c r="H221" s="394"/>
      <c r="I221" s="394"/>
      <c r="J221" s="394"/>
      <c r="K221" s="262"/>
      <c r="L221" s="262"/>
      <c r="M221" s="262"/>
      <c r="N221" s="262"/>
      <c r="O221" s="262"/>
      <c r="P221" s="262"/>
      <c r="Q221" s="262"/>
    </row>
    <row r="222" spans="8:17" s="263" customFormat="1" x14ac:dyDescent="0.2">
      <c r="H222" s="394"/>
      <c r="I222" s="394"/>
      <c r="J222" s="394"/>
      <c r="K222" s="262"/>
      <c r="L222" s="262"/>
      <c r="M222" s="262"/>
      <c r="N222" s="262"/>
      <c r="O222" s="262"/>
      <c r="P222" s="262"/>
      <c r="Q222" s="262"/>
    </row>
    <row r="223" spans="8:17" s="263" customFormat="1" x14ac:dyDescent="0.2">
      <c r="H223" s="394"/>
      <c r="I223" s="394"/>
      <c r="J223" s="394"/>
      <c r="K223" s="262"/>
      <c r="L223" s="262"/>
      <c r="M223" s="262"/>
      <c r="N223" s="262"/>
      <c r="O223" s="262"/>
      <c r="P223" s="262"/>
      <c r="Q223" s="262"/>
    </row>
    <row r="224" spans="8:17" s="263" customFormat="1" x14ac:dyDescent="0.2">
      <c r="H224" s="394"/>
      <c r="I224" s="394"/>
      <c r="J224" s="394"/>
      <c r="K224" s="262"/>
      <c r="L224" s="262"/>
      <c r="M224" s="262"/>
      <c r="N224" s="262"/>
      <c r="O224" s="262"/>
      <c r="P224" s="262"/>
      <c r="Q224" s="262"/>
    </row>
    <row r="225" spans="8:17" s="263" customFormat="1" x14ac:dyDescent="0.2">
      <c r="H225" s="394"/>
      <c r="I225" s="394"/>
      <c r="J225" s="394"/>
      <c r="K225" s="262"/>
      <c r="L225" s="262"/>
      <c r="M225" s="262"/>
      <c r="N225" s="262"/>
      <c r="O225" s="262"/>
      <c r="P225" s="262"/>
      <c r="Q225" s="262"/>
    </row>
    <row r="226" spans="8:17" s="263" customFormat="1" x14ac:dyDescent="0.2">
      <c r="H226" s="394"/>
      <c r="I226" s="394"/>
      <c r="J226" s="394"/>
      <c r="K226" s="262"/>
      <c r="L226" s="262"/>
      <c r="M226" s="262"/>
      <c r="N226" s="262"/>
      <c r="O226" s="262"/>
      <c r="P226" s="262"/>
      <c r="Q226" s="262"/>
    </row>
    <row r="227" spans="8:17" s="263" customFormat="1" x14ac:dyDescent="0.2">
      <c r="H227" s="394"/>
      <c r="I227" s="394"/>
      <c r="J227" s="394"/>
      <c r="K227" s="262"/>
      <c r="L227" s="262"/>
      <c r="M227" s="262"/>
      <c r="N227" s="262"/>
      <c r="O227" s="262"/>
      <c r="P227" s="262"/>
      <c r="Q227" s="262"/>
    </row>
    <row r="228" spans="8:17" s="263" customFormat="1" x14ac:dyDescent="0.2">
      <c r="H228" s="394"/>
      <c r="I228" s="394"/>
      <c r="J228" s="394"/>
      <c r="K228" s="262"/>
      <c r="L228" s="262"/>
      <c r="M228" s="262"/>
      <c r="N228" s="262"/>
      <c r="O228" s="262"/>
      <c r="P228" s="262"/>
      <c r="Q228" s="262"/>
    </row>
    <row r="229" spans="8:17" s="263" customFormat="1" x14ac:dyDescent="0.2">
      <c r="H229" s="394"/>
      <c r="I229" s="394"/>
      <c r="J229" s="394"/>
      <c r="K229" s="262"/>
      <c r="L229" s="262"/>
      <c r="M229" s="262"/>
      <c r="N229" s="262"/>
      <c r="O229" s="262"/>
      <c r="P229" s="262"/>
      <c r="Q229" s="262"/>
    </row>
    <row r="230" spans="8:17" s="263" customFormat="1" x14ac:dyDescent="0.2">
      <c r="H230" s="394"/>
      <c r="I230" s="394"/>
      <c r="J230" s="394"/>
      <c r="K230" s="262"/>
      <c r="L230" s="262"/>
      <c r="M230" s="262"/>
      <c r="N230" s="262"/>
      <c r="O230" s="262"/>
      <c r="P230" s="262"/>
      <c r="Q230" s="262"/>
    </row>
    <row r="231" spans="8:17" s="263" customFormat="1" x14ac:dyDescent="0.2">
      <c r="H231" s="394"/>
      <c r="I231" s="394"/>
      <c r="J231" s="394"/>
      <c r="K231" s="262"/>
      <c r="L231" s="262"/>
      <c r="M231" s="262"/>
      <c r="N231" s="262"/>
      <c r="O231" s="262"/>
      <c r="P231" s="262"/>
      <c r="Q231" s="262"/>
    </row>
    <row r="232" spans="8:17" s="263" customFormat="1" x14ac:dyDescent="0.2">
      <c r="H232" s="394"/>
      <c r="I232" s="394"/>
      <c r="J232" s="394"/>
      <c r="K232" s="262"/>
      <c r="L232" s="262"/>
      <c r="M232" s="262"/>
      <c r="N232" s="262"/>
      <c r="O232" s="262"/>
      <c r="P232" s="262"/>
      <c r="Q232" s="262"/>
    </row>
    <row r="233" spans="8:17" s="263" customFormat="1" x14ac:dyDescent="0.2">
      <c r="H233" s="394"/>
      <c r="I233" s="394"/>
      <c r="J233" s="394"/>
      <c r="K233" s="262"/>
      <c r="L233" s="262"/>
      <c r="M233" s="262"/>
      <c r="N233" s="262"/>
      <c r="O233" s="262"/>
      <c r="P233" s="262"/>
      <c r="Q233" s="262"/>
    </row>
    <row r="234" spans="8:17" s="263" customFormat="1" x14ac:dyDescent="0.2">
      <c r="H234" s="394"/>
      <c r="I234" s="394"/>
      <c r="J234" s="394"/>
      <c r="K234" s="262"/>
      <c r="L234" s="262"/>
      <c r="M234" s="262"/>
      <c r="N234" s="262"/>
      <c r="O234" s="262"/>
      <c r="P234" s="262"/>
      <c r="Q234" s="262"/>
    </row>
    <row r="235" spans="8:17" s="263" customFormat="1" x14ac:dyDescent="0.2">
      <c r="H235" s="394"/>
      <c r="I235" s="394"/>
      <c r="J235" s="394"/>
      <c r="K235" s="262"/>
      <c r="L235" s="262"/>
      <c r="M235" s="262"/>
      <c r="N235" s="262"/>
      <c r="O235" s="262"/>
      <c r="P235" s="262"/>
      <c r="Q235" s="262"/>
    </row>
    <row r="236" spans="8:17" s="263" customFormat="1" x14ac:dyDescent="0.2">
      <c r="H236" s="394"/>
      <c r="I236" s="394"/>
      <c r="J236" s="394"/>
      <c r="K236" s="262"/>
      <c r="L236" s="262"/>
      <c r="M236" s="262"/>
      <c r="N236" s="262"/>
      <c r="O236" s="262"/>
      <c r="P236" s="262"/>
      <c r="Q236" s="262"/>
    </row>
    <row r="237" spans="8:17" s="263" customFormat="1" x14ac:dyDescent="0.2">
      <c r="H237" s="394"/>
      <c r="I237" s="394"/>
      <c r="J237" s="394"/>
      <c r="K237" s="262"/>
      <c r="L237" s="262"/>
      <c r="M237" s="262"/>
      <c r="N237" s="262"/>
      <c r="O237" s="262"/>
      <c r="P237" s="262"/>
      <c r="Q237" s="262"/>
    </row>
    <row r="238" spans="8:17" s="263" customFormat="1" x14ac:dyDescent="0.2">
      <c r="H238" s="394"/>
      <c r="I238" s="394"/>
      <c r="J238" s="394"/>
      <c r="K238" s="262"/>
      <c r="L238" s="262"/>
      <c r="M238" s="262"/>
      <c r="N238" s="262"/>
      <c r="O238" s="262"/>
      <c r="P238" s="262"/>
      <c r="Q238" s="262"/>
    </row>
    <row r="239" spans="8:17" s="263" customFormat="1" x14ac:dyDescent="0.2">
      <c r="H239" s="394"/>
      <c r="I239" s="394"/>
      <c r="J239" s="394"/>
      <c r="K239" s="262"/>
      <c r="L239" s="262"/>
      <c r="M239" s="262"/>
      <c r="N239" s="262"/>
      <c r="O239" s="262"/>
      <c r="P239" s="262"/>
      <c r="Q239" s="262"/>
    </row>
    <row r="240" spans="8:17" s="263" customFormat="1" x14ac:dyDescent="0.2">
      <c r="H240" s="394"/>
      <c r="I240" s="394"/>
      <c r="J240" s="394"/>
      <c r="K240" s="262"/>
      <c r="L240" s="262"/>
      <c r="M240" s="262"/>
      <c r="N240" s="262"/>
      <c r="O240" s="262"/>
      <c r="P240" s="262"/>
      <c r="Q240" s="262"/>
    </row>
    <row r="241" spans="8:17" s="263" customFormat="1" x14ac:dyDescent="0.2">
      <c r="H241" s="394"/>
      <c r="I241" s="394"/>
      <c r="J241" s="394"/>
      <c r="K241" s="262"/>
      <c r="L241" s="262"/>
      <c r="M241" s="262"/>
      <c r="N241" s="262"/>
      <c r="O241" s="262"/>
      <c r="P241" s="262"/>
      <c r="Q241" s="262"/>
    </row>
    <row r="242" spans="8:17" s="263" customFormat="1" x14ac:dyDescent="0.2">
      <c r="H242" s="394"/>
      <c r="I242" s="394"/>
      <c r="J242" s="394"/>
      <c r="K242" s="262"/>
      <c r="L242" s="262"/>
      <c r="M242" s="262"/>
      <c r="N242" s="262"/>
      <c r="O242" s="262"/>
      <c r="P242" s="262"/>
      <c r="Q242" s="262"/>
    </row>
    <row r="243" spans="8:17" s="263" customFormat="1" x14ac:dyDescent="0.2">
      <c r="H243" s="394"/>
      <c r="I243" s="394"/>
      <c r="J243" s="394"/>
      <c r="K243" s="262"/>
      <c r="L243" s="262"/>
      <c r="M243" s="262"/>
      <c r="N243" s="262"/>
      <c r="O243" s="262"/>
      <c r="P243" s="262"/>
      <c r="Q243" s="262"/>
    </row>
    <row r="244" spans="8:17" s="263" customFormat="1" x14ac:dyDescent="0.2">
      <c r="H244" s="394"/>
      <c r="I244" s="394"/>
      <c r="J244" s="394"/>
      <c r="K244" s="262"/>
      <c r="L244" s="262"/>
      <c r="M244" s="262"/>
      <c r="N244" s="262"/>
      <c r="O244" s="262"/>
      <c r="P244" s="262"/>
      <c r="Q244" s="262"/>
    </row>
    <row r="245" spans="8:17" s="263" customFormat="1" x14ac:dyDescent="0.2">
      <c r="H245" s="394"/>
      <c r="I245" s="394"/>
      <c r="J245" s="394"/>
      <c r="K245" s="262"/>
      <c r="L245" s="262"/>
      <c r="M245" s="262"/>
      <c r="N245" s="262"/>
      <c r="O245" s="262"/>
      <c r="P245" s="262"/>
      <c r="Q245" s="262"/>
    </row>
    <row r="246" spans="8:17" s="263" customFormat="1" x14ac:dyDescent="0.2">
      <c r="H246" s="394"/>
      <c r="I246" s="394"/>
      <c r="J246" s="394"/>
      <c r="K246" s="262"/>
      <c r="L246" s="262"/>
      <c r="M246" s="262"/>
      <c r="N246" s="262"/>
      <c r="O246" s="262"/>
      <c r="P246" s="262"/>
      <c r="Q246" s="262"/>
    </row>
    <row r="247" spans="8:17" s="263" customFormat="1" x14ac:dyDescent="0.2">
      <c r="H247" s="394"/>
      <c r="I247" s="394"/>
      <c r="J247" s="394"/>
      <c r="K247" s="262"/>
      <c r="L247" s="262"/>
      <c r="M247" s="262"/>
      <c r="N247" s="262"/>
      <c r="O247" s="262"/>
      <c r="P247" s="262"/>
      <c r="Q247" s="262"/>
    </row>
    <row r="248" spans="8:17" s="263" customFormat="1" x14ac:dyDescent="0.2">
      <c r="H248" s="394"/>
      <c r="I248" s="394"/>
      <c r="J248" s="394"/>
      <c r="K248" s="262"/>
      <c r="L248" s="262"/>
      <c r="M248" s="262"/>
      <c r="N248" s="262"/>
      <c r="O248" s="262"/>
      <c r="P248" s="262"/>
      <c r="Q248" s="262"/>
    </row>
    <row r="249" spans="8:17" s="263" customFormat="1" x14ac:dyDescent="0.2">
      <c r="H249" s="394"/>
      <c r="I249" s="394"/>
      <c r="J249" s="394"/>
      <c r="K249" s="262"/>
      <c r="L249" s="262"/>
      <c r="M249" s="262"/>
      <c r="N249" s="262"/>
      <c r="O249" s="262"/>
      <c r="P249" s="262"/>
      <c r="Q249" s="262"/>
    </row>
    <row r="250" spans="8:17" s="263" customFormat="1" x14ac:dyDescent="0.2">
      <c r="H250" s="394"/>
      <c r="I250" s="394"/>
      <c r="J250" s="394"/>
      <c r="K250" s="262"/>
      <c r="L250" s="262"/>
      <c r="M250" s="262"/>
      <c r="N250" s="262"/>
      <c r="O250" s="262"/>
      <c r="P250" s="262"/>
      <c r="Q250" s="262"/>
    </row>
    <row r="251" spans="8:17" s="263" customFormat="1" x14ac:dyDescent="0.2">
      <c r="H251" s="394"/>
      <c r="I251" s="394"/>
      <c r="J251" s="394"/>
      <c r="K251" s="262"/>
      <c r="L251" s="262"/>
      <c r="M251" s="262"/>
      <c r="N251" s="262"/>
      <c r="O251" s="262"/>
      <c r="P251" s="262"/>
      <c r="Q251" s="262"/>
    </row>
    <row r="252" spans="8:17" s="263" customFormat="1" x14ac:dyDescent="0.2">
      <c r="H252" s="394"/>
      <c r="I252" s="394"/>
      <c r="J252" s="394"/>
      <c r="K252" s="262"/>
      <c r="L252" s="262"/>
      <c r="M252" s="262"/>
      <c r="N252" s="262"/>
      <c r="O252" s="262"/>
      <c r="P252" s="262"/>
      <c r="Q252" s="262"/>
    </row>
    <row r="253" spans="8:17" s="263" customFormat="1" x14ac:dyDescent="0.2">
      <c r="H253" s="394"/>
      <c r="I253" s="394"/>
      <c r="J253" s="394"/>
      <c r="K253" s="262"/>
      <c r="L253" s="262"/>
      <c r="M253" s="262"/>
      <c r="N253" s="262"/>
      <c r="O253" s="262"/>
      <c r="P253" s="262"/>
      <c r="Q253" s="262"/>
    </row>
    <row r="254" spans="8:17" s="263" customFormat="1" x14ac:dyDescent="0.2">
      <c r="H254" s="394"/>
      <c r="I254" s="394"/>
      <c r="J254" s="394"/>
      <c r="K254" s="262"/>
      <c r="L254" s="262"/>
      <c r="M254" s="262"/>
      <c r="N254" s="262"/>
      <c r="O254" s="262"/>
      <c r="P254" s="262"/>
      <c r="Q254" s="262"/>
    </row>
    <row r="255" spans="8:17" s="263" customFormat="1" x14ac:dyDescent="0.2">
      <c r="H255" s="394"/>
      <c r="I255" s="394"/>
      <c r="J255" s="394"/>
      <c r="K255" s="262"/>
      <c r="L255" s="262"/>
      <c r="M255" s="262"/>
      <c r="N255" s="262"/>
      <c r="O255" s="262"/>
      <c r="P255" s="262"/>
      <c r="Q255" s="262"/>
    </row>
    <row r="256" spans="8:17" s="263" customFormat="1" x14ac:dyDescent="0.2">
      <c r="H256" s="394"/>
      <c r="I256" s="394"/>
      <c r="J256" s="394"/>
      <c r="K256" s="262"/>
      <c r="L256" s="262"/>
      <c r="M256" s="262"/>
      <c r="N256" s="262"/>
      <c r="O256" s="262"/>
      <c r="P256" s="262"/>
      <c r="Q256" s="262"/>
    </row>
    <row r="257" spans="8:17" s="263" customFormat="1" x14ac:dyDescent="0.2">
      <c r="H257" s="394"/>
      <c r="I257" s="394"/>
      <c r="J257" s="394"/>
      <c r="K257" s="262"/>
      <c r="L257" s="262"/>
      <c r="M257" s="262"/>
      <c r="N257" s="262"/>
      <c r="O257" s="262"/>
      <c r="P257" s="262"/>
      <c r="Q257" s="262"/>
    </row>
    <row r="258" spans="8:17" s="263" customFormat="1" x14ac:dyDescent="0.2">
      <c r="H258" s="394"/>
      <c r="I258" s="394"/>
      <c r="J258" s="394"/>
      <c r="K258" s="262"/>
      <c r="L258" s="262"/>
      <c r="M258" s="262"/>
      <c r="N258" s="262"/>
      <c r="O258" s="262"/>
      <c r="P258" s="262"/>
      <c r="Q258" s="262"/>
    </row>
    <row r="259" spans="8:17" s="263" customFormat="1" x14ac:dyDescent="0.2">
      <c r="H259" s="394"/>
      <c r="I259" s="394"/>
      <c r="J259" s="394"/>
      <c r="K259" s="262"/>
      <c r="L259" s="262"/>
      <c r="M259" s="262"/>
      <c r="N259" s="262"/>
      <c r="O259" s="262"/>
      <c r="P259" s="262"/>
      <c r="Q259" s="262"/>
    </row>
    <row r="260" spans="8:17" s="263" customFormat="1" x14ac:dyDescent="0.2">
      <c r="H260" s="394"/>
      <c r="I260" s="394"/>
      <c r="J260" s="394"/>
      <c r="K260" s="262"/>
      <c r="L260" s="262"/>
      <c r="M260" s="262"/>
      <c r="N260" s="262"/>
      <c r="O260" s="262"/>
      <c r="P260" s="262"/>
      <c r="Q260" s="262"/>
    </row>
    <row r="261" spans="8:17" s="263" customFormat="1" x14ac:dyDescent="0.2">
      <c r="H261" s="394"/>
      <c r="I261" s="394"/>
      <c r="J261" s="394"/>
      <c r="K261" s="262"/>
      <c r="L261" s="262"/>
      <c r="M261" s="262"/>
      <c r="N261" s="262"/>
      <c r="O261" s="262"/>
      <c r="P261" s="262"/>
      <c r="Q261" s="262"/>
    </row>
    <row r="262" spans="8:17" s="263" customFormat="1" x14ac:dyDescent="0.2">
      <c r="H262" s="394"/>
      <c r="I262" s="394"/>
      <c r="J262" s="394"/>
      <c r="K262" s="262"/>
      <c r="L262" s="262"/>
      <c r="M262" s="262"/>
      <c r="N262" s="262"/>
      <c r="O262" s="262"/>
      <c r="P262" s="262"/>
      <c r="Q262" s="262"/>
    </row>
    <row r="263" spans="8:17" s="263" customFormat="1" x14ac:dyDescent="0.2">
      <c r="H263" s="394"/>
      <c r="I263" s="394"/>
      <c r="J263" s="394"/>
      <c r="K263" s="262"/>
      <c r="L263" s="262"/>
      <c r="M263" s="262"/>
      <c r="N263" s="262"/>
      <c r="O263" s="262"/>
      <c r="P263" s="262"/>
      <c r="Q263" s="262"/>
    </row>
    <row r="264" spans="8:17" s="263" customFormat="1" x14ac:dyDescent="0.2">
      <c r="H264" s="394"/>
      <c r="I264" s="394"/>
      <c r="J264" s="394"/>
      <c r="K264" s="262"/>
      <c r="L264" s="262"/>
      <c r="M264" s="262"/>
      <c r="N264" s="262"/>
      <c r="O264" s="262"/>
      <c r="P264" s="262"/>
      <c r="Q264" s="262"/>
    </row>
    <row r="265" spans="8:17" s="263" customFormat="1" x14ac:dyDescent="0.2">
      <c r="H265" s="394"/>
      <c r="I265" s="394"/>
      <c r="J265" s="394"/>
      <c r="K265" s="262"/>
      <c r="L265" s="262"/>
      <c r="M265" s="262"/>
      <c r="N265" s="262"/>
      <c r="O265" s="262"/>
      <c r="P265" s="262"/>
      <c r="Q265" s="262"/>
    </row>
    <row r="266" spans="8:17" s="263" customFormat="1" x14ac:dyDescent="0.2">
      <c r="H266" s="394"/>
      <c r="I266" s="394"/>
      <c r="J266" s="394"/>
      <c r="K266" s="262"/>
      <c r="L266" s="262"/>
      <c r="M266" s="262"/>
      <c r="N266" s="262"/>
      <c r="O266" s="262"/>
      <c r="P266" s="262"/>
      <c r="Q266" s="262"/>
    </row>
    <row r="267" spans="8:17" s="263" customFormat="1" x14ac:dyDescent="0.2">
      <c r="H267" s="394"/>
      <c r="I267" s="394"/>
      <c r="J267" s="394"/>
      <c r="K267" s="262"/>
      <c r="L267" s="262"/>
      <c r="M267" s="262"/>
      <c r="N267" s="262"/>
      <c r="O267" s="262"/>
      <c r="P267" s="262"/>
      <c r="Q267" s="262"/>
    </row>
    <row r="268" spans="8:17" s="263" customFormat="1" x14ac:dyDescent="0.2">
      <c r="H268" s="394"/>
      <c r="I268" s="394"/>
      <c r="J268" s="394"/>
      <c r="K268" s="262"/>
      <c r="L268" s="262"/>
      <c r="M268" s="262"/>
      <c r="N268" s="262"/>
      <c r="O268" s="262"/>
      <c r="P268" s="262"/>
      <c r="Q268" s="262"/>
    </row>
    <row r="269" spans="8:17" s="263" customFormat="1" x14ac:dyDescent="0.2">
      <c r="H269" s="394"/>
      <c r="I269" s="394"/>
      <c r="J269" s="394"/>
      <c r="K269" s="262"/>
      <c r="L269" s="262"/>
      <c r="M269" s="262"/>
      <c r="N269" s="262"/>
      <c r="O269" s="262"/>
      <c r="P269" s="262"/>
      <c r="Q269" s="262"/>
    </row>
    <row r="270" spans="8:17" s="263" customFormat="1" x14ac:dyDescent="0.2">
      <c r="H270" s="394"/>
      <c r="I270" s="394"/>
      <c r="J270" s="394"/>
      <c r="K270" s="262"/>
      <c r="L270" s="262"/>
      <c r="M270" s="262"/>
      <c r="N270" s="262"/>
      <c r="O270" s="262"/>
      <c r="P270" s="262"/>
      <c r="Q270" s="262"/>
    </row>
    <row r="271" spans="8:17" s="263" customFormat="1" x14ac:dyDescent="0.2">
      <c r="H271" s="394"/>
      <c r="I271" s="394"/>
      <c r="J271" s="394"/>
      <c r="K271" s="262"/>
      <c r="L271" s="262"/>
      <c r="M271" s="262"/>
      <c r="N271" s="262"/>
      <c r="O271" s="262"/>
      <c r="P271" s="262"/>
      <c r="Q271" s="262"/>
    </row>
    <row r="272" spans="8:17" s="263" customFormat="1" x14ac:dyDescent="0.2">
      <c r="H272" s="394"/>
      <c r="I272" s="394"/>
      <c r="J272" s="394"/>
      <c r="K272" s="262"/>
      <c r="L272" s="262"/>
      <c r="M272" s="262"/>
      <c r="N272" s="262"/>
      <c r="O272" s="262"/>
      <c r="P272" s="262"/>
      <c r="Q272" s="262"/>
    </row>
    <row r="273" spans="8:17" s="263" customFormat="1" x14ac:dyDescent="0.2">
      <c r="H273" s="394"/>
      <c r="I273" s="394"/>
      <c r="J273" s="394"/>
      <c r="K273" s="262"/>
      <c r="L273" s="262"/>
      <c r="M273" s="262"/>
      <c r="N273" s="262"/>
      <c r="O273" s="262"/>
      <c r="P273" s="262"/>
      <c r="Q273" s="262"/>
    </row>
    <row r="274" spans="8:17" s="263" customFormat="1" x14ac:dyDescent="0.2">
      <c r="H274" s="394"/>
      <c r="I274" s="394"/>
      <c r="J274" s="394"/>
      <c r="K274" s="262"/>
      <c r="L274" s="262"/>
      <c r="M274" s="262"/>
      <c r="N274" s="262"/>
      <c r="O274" s="262"/>
      <c r="P274" s="262"/>
      <c r="Q274" s="262"/>
    </row>
    <row r="275" spans="8:17" s="263" customFormat="1" x14ac:dyDescent="0.2">
      <c r="H275" s="394"/>
      <c r="I275" s="394"/>
      <c r="J275" s="394"/>
      <c r="K275" s="262"/>
      <c r="L275" s="262"/>
      <c r="M275" s="262"/>
      <c r="N275" s="262"/>
      <c r="O275" s="262"/>
      <c r="P275" s="262"/>
      <c r="Q275" s="262"/>
    </row>
    <row r="276" spans="8:17" s="263" customFormat="1" x14ac:dyDescent="0.2">
      <c r="H276" s="394"/>
      <c r="I276" s="394"/>
      <c r="J276" s="394"/>
      <c r="K276" s="262"/>
      <c r="L276" s="262"/>
      <c r="M276" s="262"/>
      <c r="N276" s="262"/>
      <c r="O276" s="262"/>
      <c r="P276" s="262"/>
      <c r="Q276" s="262"/>
    </row>
    <row r="277" spans="8:17" s="263" customFormat="1" x14ac:dyDescent="0.2">
      <c r="H277" s="394"/>
      <c r="I277" s="394"/>
      <c r="J277" s="394"/>
      <c r="K277" s="262"/>
      <c r="L277" s="262"/>
      <c r="M277" s="262"/>
      <c r="N277" s="262"/>
      <c r="O277" s="262"/>
      <c r="P277" s="262"/>
      <c r="Q277" s="262"/>
    </row>
    <row r="278" spans="8:17" s="263" customFormat="1" x14ac:dyDescent="0.2">
      <c r="H278" s="394"/>
      <c r="I278" s="394"/>
      <c r="J278" s="394"/>
      <c r="K278" s="262"/>
      <c r="L278" s="262"/>
      <c r="M278" s="262"/>
      <c r="N278" s="262"/>
      <c r="O278" s="262"/>
      <c r="P278" s="262"/>
      <c r="Q278" s="262"/>
    </row>
    <row r="279" spans="8:17" s="263" customFormat="1" x14ac:dyDescent="0.2">
      <c r="H279" s="394"/>
      <c r="I279" s="394"/>
      <c r="J279" s="394"/>
      <c r="K279" s="262"/>
      <c r="L279" s="262"/>
      <c r="M279" s="262"/>
      <c r="N279" s="262"/>
      <c r="O279" s="262"/>
      <c r="P279" s="262"/>
      <c r="Q279" s="262"/>
    </row>
    <row r="280" spans="8:17" s="263" customFormat="1" x14ac:dyDescent="0.2">
      <c r="H280" s="394"/>
      <c r="I280" s="394"/>
      <c r="J280" s="394"/>
      <c r="K280" s="262"/>
      <c r="L280" s="262"/>
      <c r="M280" s="262"/>
      <c r="N280" s="262"/>
      <c r="O280" s="262"/>
      <c r="P280" s="262"/>
      <c r="Q280" s="262"/>
    </row>
    <row r="281" spans="8:17" s="263" customFormat="1" x14ac:dyDescent="0.2">
      <c r="H281" s="394"/>
      <c r="I281" s="394"/>
      <c r="J281" s="394"/>
      <c r="K281" s="262"/>
      <c r="L281" s="262"/>
      <c r="M281" s="262"/>
      <c r="N281" s="262"/>
      <c r="O281" s="262"/>
      <c r="P281" s="262"/>
      <c r="Q281" s="262"/>
    </row>
    <row r="282" spans="8:17" s="263" customFormat="1" x14ac:dyDescent="0.2">
      <c r="H282" s="394"/>
      <c r="I282" s="394"/>
      <c r="J282" s="394"/>
      <c r="K282" s="262"/>
      <c r="L282" s="262"/>
      <c r="M282" s="262"/>
      <c r="N282" s="262"/>
      <c r="O282" s="262"/>
      <c r="P282" s="262"/>
      <c r="Q282" s="262"/>
    </row>
    <row r="283" spans="8:17" s="263" customFormat="1" x14ac:dyDescent="0.2">
      <c r="H283" s="394"/>
      <c r="I283" s="394"/>
      <c r="J283" s="394"/>
      <c r="K283" s="262"/>
      <c r="L283" s="262"/>
      <c r="M283" s="262"/>
      <c r="N283" s="262"/>
      <c r="O283" s="262"/>
      <c r="P283" s="262"/>
      <c r="Q283" s="262"/>
    </row>
    <row r="284" spans="8:17" s="263" customFormat="1" x14ac:dyDescent="0.2">
      <c r="H284" s="394"/>
      <c r="I284" s="394"/>
      <c r="J284" s="394"/>
      <c r="K284" s="262"/>
      <c r="L284" s="262"/>
      <c r="M284" s="262"/>
      <c r="N284" s="262"/>
      <c r="O284" s="262"/>
      <c r="P284" s="262"/>
      <c r="Q284" s="262"/>
    </row>
    <row r="285" spans="8:17" s="263" customFormat="1" x14ac:dyDescent="0.2">
      <c r="H285" s="394"/>
      <c r="I285" s="394"/>
      <c r="J285" s="394"/>
      <c r="K285" s="262"/>
      <c r="L285" s="262"/>
      <c r="M285" s="262"/>
      <c r="N285" s="262"/>
      <c r="O285" s="262"/>
      <c r="P285" s="262"/>
      <c r="Q285" s="262"/>
    </row>
    <row r="286" spans="8:17" s="263" customFormat="1" x14ac:dyDescent="0.2">
      <c r="H286" s="394"/>
      <c r="I286" s="394"/>
      <c r="J286" s="394"/>
      <c r="K286" s="262"/>
      <c r="L286" s="262"/>
      <c r="M286" s="262"/>
      <c r="N286" s="262"/>
      <c r="O286" s="262"/>
      <c r="P286" s="262"/>
      <c r="Q286" s="262"/>
    </row>
    <row r="287" spans="8:17" s="263" customFormat="1" x14ac:dyDescent="0.2">
      <c r="H287" s="394"/>
      <c r="I287" s="394"/>
      <c r="J287" s="394"/>
      <c r="K287" s="262"/>
      <c r="L287" s="262"/>
      <c r="M287" s="262"/>
      <c r="N287" s="262"/>
      <c r="O287" s="262"/>
      <c r="P287" s="262"/>
      <c r="Q287" s="262"/>
    </row>
    <row r="288" spans="8:17" s="263" customFormat="1" x14ac:dyDescent="0.2">
      <c r="H288" s="394"/>
      <c r="I288" s="394"/>
      <c r="J288" s="394"/>
      <c r="K288" s="262"/>
      <c r="L288" s="262"/>
      <c r="M288" s="262"/>
      <c r="N288" s="262"/>
      <c r="O288" s="262"/>
      <c r="P288" s="262"/>
      <c r="Q288" s="262"/>
    </row>
    <row r="289" spans="8:17" s="263" customFormat="1" x14ac:dyDescent="0.2">
      <c r="H289" s="394"/>
      <c r="I289" s="394"/>
      <c r="J289" s="394"/>
      <c r="K289" s="262"/>
      <c r="L289" s="262"/>
      <c r="M289" s="262"/>
      <c r="N289" s="262"/>
      <c r="O289" s="262"/>
      <c r="P289" s="262"/>
      <c r="Q289" s="262"/>
    </row>
    <row r="290" spans="8:17" s="263" customFormat="1" x14ac:dyDescent="0.2">
      <c r="H290" s="394"/>
      <c r="I290" s="394"/>
      <c r="J290" s="394"/>
      <c r="K290" s="262"/>
      <c r="L290" s="262"/>
      <c r="M290" s="262"/>
      <c r="N290" s="262"/>
      <c r="O290" s="262"/>
      <c r="P290" s="262"/>
      <c r="Q290" s="262"/>
    </row>
    <row r="291" spans="8:17" s="263" customFormat="1" x14ac:dyDescent="0.2">
      <c r="H291" s="394"/>
      <c r="I291" s="394"/>
      <c r="J291" s="394"/>
      <c r="K291" s="262"/>
      <c r="L291" s="262"/>
      <c r="M291" s="262"/>
      <c r="N291" s="262"/>
      <c r="O291" s="262"/>
      <c r="P291" s="262"/>
      <c r="Q291" s="262"/>
    </row>
    <row r="292" spans="8:17" s="263" customFormat="1" x14ac:dyDescent="0.2">
      <c r="H292" s="394"/>
      <c r="I292" s="394"/>
      <c r="J292" s="394"/>
      <c r="K292" s="262"/>
      <c r="L292" s="262"/>
      <c r="M292" s="262"/>
      <c r="N292" s="262"/>
      <c r="O292" s="262"/>
      <c r="P292" s="262"/>
      <c r="Q292" s="262"/>
    </row>
    <row r="293" spans="8:17" s="263" customFormat="1" x14ac:dyDescent="0.2">
      <c r="H293" s="394"/>
      <c r="I293" s="394"/>
      <c r="J293" s="394"/>
      <c r="K293" s="262"/>
      <c r="L293" s="262"/>
      <c r="M293" s="262"/>
      <c r="N293" s="262"/>
      <c r="O293" s="262"/>
      <c r="P293" s="262"/>
      <c r="Q293" s="262"/>
    </row>
    <row r="294" spans="8:17" s="263" customFormat="1" x14ac:dyDescent="0.2">
      <c r="H294" s="394"/>
      <c r="I294" s="394"/>
      <c r="J294" s="394"/>
      <c r="K294" s="262"/>
      <c r="L294" s="262"/>
      <c r="M294" s="262"/>
      <c r="N294" s="262"/>
      <c r="O294" s="262"/>
      <c r="P294" s="262"/>
      <c r="Q294" s="262"/>
    </row>
    <row r="295" spans="8:17" s="263" customFormat="1" x14ac:dyDescent="0.2">
      <c r="H295" s="394"/>
      <c r="I295" s="394"/>
      <c r="J295" s="394"/>
      <c r="K295" s="262"/>
      <c r="L295" s="262"/>
      <c r="M295" s="262"/>
      <c r="N295" s="262"/>
      <c r="O295" s="262"/>
      <c r="P295" s="262"/>
      <c r="Q295" s="262"/>
    </row>
    <row r="296" spans="8:17" s="263" customFormat="1" x14ac:dyDescent="0.2">
      <c r="H296" s="394"/>
      <c r="I296" s="394"/>
      <c r="J296" s="394"/>
      <c r="K296" s="262"/>
      <c r="L296" s="262"/>
      <c r="M296" s="262"/>
      <c r="N296" s="262"/>
      <c r="O296" s="262"/>
      <c r="P296" s="262"/>
      <c r="Q296" s="262"/>
    </row>
    <row r="297" spans="8:17" s="263" customFormat="1" x14ac:dyDescent="0.2">
      <c r="H297" s="394"/>
      <c r="I297" s="394"/>
      <c r="J297" s="394"/>
      <c r="K297" s="262"/>
      <c r="L297" s="262"/>
      <c r="M297" s="262"/>
      <c r="N297" s="262"/>
      <c r="O297" s="262"/>
      <c r="P297" s="262"/>
      <c r="Q297" s="262"/>
    </row>
    <row r="298" spans="8:17" s="263" customFormat="1" x14ac:dyDescent="0.2">
      <c r="H298" s="394"/>
      <c r="I298" s="394"/>
      <c r="J298" s="394"/>
      <c r="K298" s="262"/>
      <c r="L298" s="262"/>
      <c r="M298" s="262"/>
      <c r="N298" s="262"/>
      <c r="O298" s="262"/>
      <c r="P298" s="262"/>
      <c r="Q298" s="262"/>
    </row>
    <row r="299" spans="8:17" s="263" customFormat="1" x14ac:dyDescent="0.2">
      <c r="H299" s="394"/>
      <c r="I299" s="394"/>
      <c r="J299" s="394"/>
      <c r="K299" s="262"/>
      <c r="L299" s="262"/>
      <c r="M299" s="262"/>
      <c r="N299" s="262"/>
      <c r="O299" s="262"/>
      <c r="P299" s="262"/>
      <c r="Q299" s="262"/>
    </row>
    <row r="300" spans="8:17" s="263" customFormat="1" x14ac:dyDescent="0.2">
      <c r="H300" s="394"/>
      <c r="I300" s="394"/>
      <c r="J300" s="394"/>
      <c r="K300" s="262"/>
      <c r="L300" s="262"/>
      <c r="M300" s="262"/>
      <c r="N300" s="262"/>
      <c r="O300" s="262"/>
      <c r="P300" s="262"/>
      <c r="Q300" s="262"/>
    </row>
    <row r="301" spans="8:17" s="263" customFormat="1" x14ac:dyDescent="0.2">
      <c r="H301" s="394"/>
      <c r="I301" s="394"/>
      <c r="J301" s="394"/>
      <c r="K301" s="262"/>
      <c r="L301" s="262"/>
      <c r="M301" s="262"/>
      <c r="N301" s="262"/>
      <c r="O301" s="262"/>
      <c r="P301" s="262"/>
      <c r="Q301" s="262"/>
    </row>
    <row r="302" spans="8:17" s="263" customFormat="1" x14ac:dyDescent="0.2">
      <c r="H302" s="394"/>
      <c r="I302" s="394"/>
      <c r="J302" s="394"/>
      <c r="K302" s="262"/>
      <c r="L302" s="262"/>
      <c r="M302" s="262"/>
      <c r="N302" s="262"/>
      <c r="O302" s="262"/>
      <c r="P302" s="262"/>
      <c r="Q302" s="262"/>
    </row>
    <row r="303" spans="8:17" s="263" customFormat="1" x14ac:dyDescent="0.2">
      <c r="H303" s="394"/>
      <c r="I303" s="394"/>
      <c r="J303" s="394"/>
      <c r="K303" s="262"/>
      <c r="L303" s="262"/>
      <c r="M303" s="262"/>
      <c r="N303" s="262"/>
      <c r="O303" s="262"/>
      <c r="P303" s="262"/>
      <c r="Q303" s="262"/>
    </row>
    <row r="304" spans="8:17" s="263" customFormat="1" x14ac:dyDescent="0.2">
      <c r="H304" s="394"/>
      <c r="I304" s="394"/>
      <c r="J304" s="394"/>
      <c r="K304" s="262"/>
      <c r="L304" s="262"/>
      <c r="M304" s="262"/>
      <c r="N304" s="262"/>
      <c r="O304" s="262"/>
      <c r="P304" s="262"/>
      <c r="Q304" s="262"/>
    </row>
    <row r="305" spans="8:17" s="263" customFormat="1" x14ac:dyDescent="0.2">
      <c r="H305" s="394"/>
      <c r="I305" s="394"/>
      <c r="J305" s="394"/>
      <c r="K305" s="262"/>
      <c r="L305" s="262"/>
      <c r="M305" s="262"/>
      <c r="N305" s="262"/>
      <c r="O305" s="262"/>
      <c r="P305" s="262"/>
      <c r="Q305" s="262"/>
    </row>
    <row r="306" spans="8:17" s="263" customFormat="1" x14ac:dyDescent="0.2">
      <c r="H306" s="394"/>
      <c r="I306" s="394"/>
      <c r="J306" s="394"/>
      <c r="K306" s="262"/>
      <c r="L306" s="262"/>
      <c r="M306" s="262"/>
      <c r="N306" s="262"/>
      <c r="O306" s="262"/>
      <c r="P306" s="262"/>
      <c r="Q306" s="262"/>
    </row>
    <row r="307" spans="8:17" s="263" customFormat="1" x14ac:dyDescent="0.2">
      <c r="H307" s="394"/>
      <c r="I307" s="394"/>
      <c r="J307" s="394"/>
      <c r="K307" s="262"/>
      <c r="L307" s="262"/>
      <c r="M307" s="262"/>
      <c r="N307" s="262"/>
      <c r="O307" s="262"/>
      <c r="P307" s="262"/>
      <c r="Q307" s="262"/>
    </row>
    <row r="308" spans="8:17" s="263" customFormat="1" x14ac:dyDescent="0.2">
      <c r="H308" s="394"/>
      <c r="I308" s="394"/>
      <c r="J308" s="394"/>
      <c r="K308" s="262"/>
      <c r="L308" s="262"/>
      <c r="M308" s="262"/>
      <c r="N308" s="262"/>
      <c r="O308" s="262"/>
      <c r="P308" s="262"/>
      <c r="Q308" s="262"/>
    </row>
    <row r="309" spans="8:17" s="263" customFormat="1" x14ac:dyDescent="0.2">
      <c r="H309" s="394"/>
      <c r="I309" s="394"/>
      <c r="J309" s="394"/>
      <c r="K309" s="262"/>
      <c r="L309" s="262"/>
      <c r="M309" s="262"/>
      <c r="N309" s="262"/>
      <c r="O309" s="262"/>
      <c r="P309" s="262"/>
      <c r="Q309" s="262"/>
    </row>
    <row r="310" spans="8:17" s="263" customFormat="1" x14ac:dyDescent="0.2">
      <c r="H310" s="394"/>
      <c r="I310" s="394"/>
      <c r="J310" s="394"/>
      <c r="K310" s="262"/>
      <c r="L310" s="262"/>
      <c r="M310" s="262"/>
      <c r="N310" s="262"/>
      <c r="O310" s="262"/>
      <c r="P310" s="262"/>
      <c r="Q310" s="262"/>
    </row>
    <row r="311" spans="8:17" s="263" customFormat="1" x14ac:dyDescent="0.2">
      <c r="H311" s="394"/>
      <c r="I311" s="394"/>
      <c r="J311" s="394"/>
      <c r="K311" s="262"/>
      <c r="L311" s="262"/>
      <c r="M311" s="262"/>
      <c r="N311" s="262"/>
      <c r="O311" s="262"/>
      <c r="P311" s="262"/>
      <c r="Q311" s="262"/>
    </row>
    <row r="312" spans="8:17" s="263" customFormat="1" x14ac:dyDescent="0.2">
      <c r="H312" s="394"/>
      <c r="I312" s="394"/>
      <c r="J312" s="394"/>
      <c r="K312" s="262"/>
      <c r="L312" s="262"/>
      <c r="M312" s="262"/>
      <c r="N312" s="262"/>
      <c r="O312" s="262"/>
      <c r="P312" s="262"/>
      <c r="Q312" s="262"/>
    </row>
    <row r="313" spans="8:17" s="263" customFormat="1" x14ac:dyDescent="0.2">
      <c r="H313" s="394"/>
      <c r="I313" s="394"/>
      <c r="J313" s="394"/>
      <c r="K313" s="262"/>
      <c r="L313" s="262"/>
      <c r="M313" s="262"/>
      <c r="N313" s="262"/>
      <c r="O313" s="262"/>
      <c r="P313" s="262"/>
      <c r="Q313" s="262"/>
    </row>
    <row r="314" spans="8:17" s="263" customFormat="1" x14ac:dyDescent="0.2">
      <c r="H314" s="394"/>
      <c r="I314" s="394"/>
      <c r="J314" s="394"/>
      <c r="K314" s="262"/>
      <c r="L314" s="262"/>
      <c r="M314" s="262"/>
      <c r="N314" s="262"/>
      <c r="O314" s="262"/>
      <c r="P314" s="262"/>
      <c r="Q314" s="262"/>
    </row>
    <row r="315" spans="8:17" s="263" customFormat="1" x14ac:dyDescent="0.2">
      <c r="H315" s="394"/>
      <c r="I315" s="394"/>
      <c r="J315" s="394"/>
      <c r="K315" s="262"/>
      <c r="L315" s="262"/>
      <c r="M315" s="262"/>
      <c r="N315" s="262"/>
      <c r="O315" s="262"/>
      <c r="P315" s="262"/>
      <c r="Q315" s="262"/>
    </row>
    <row r="316" spans="8:17" s="263" customFormat="1" x14ac:dyDescent="0.2">
      <c r="H316" s="394"/>
      <c r="I316" s="394"/>
      <c r="J316" s="394"/>
      <c r="K316" s="262"/>
      <c r="L316" s="262"/>
      <c r="M316" s="262"/>
      <c r="N316" s="262"/>
      <c r="O316" s="262"/>
      <c r="P316" s="262"/>
      <c r="Q316" s="262"/>
    </row>
    <row r="317" spans="8:17" s="263" customFormat="1" x14ac:dyDescent="0.2">
      <c r="H317" s="394"/>
      <c r="I317" s="394"/>
      <c r="J317" s="394"/>
      <c r="K317" s="262"/>
      <c r="L317" s="262"/>
      <c r="M317" s="262"/>
      <c r="N317" s="262"/>
      <c r="O317" s="262"/>
      <c r="P317" s="262"/>
      <c r="Q317" s="262"/>
    </row>
    <row r="318" spans="8:17" s="263" customFormat="1" x14ac:dyDescent="0.2">
      <c r="H318" s="394"/>
      <c r="I318" s="394"/>
      <c r="J318" s="394"/>
      <c r="K318" s="262"/>
      <c r="L318" s="262"/>
      <c r="M318" s="262"/>
      <c r="N318" s="262"/>
      <c r="O318" s="262"/>
      <c r="P318" s="262"/>
      <c r="Q318" s="262"/>
    </row>
    <row r="319" spans="8:17" s="263" customFormat="1" x14ac:dyDescent="0.2">
      <c r="H319" s="394"/>
      <c r="I319" s="394"/>
      <c r="J319" s="394"/>
      <c r="K319" s="262"/>
      <c r="L319" s="262"/>
      <c r="M319" s="262"/>
      <c r="N319" s="262"/>
      <c r="O319" s="262"/>
      <c r="P319" s="262"/>
      <c r="Q319" s="262"/>
    </row>
    <row r="320" spans="8:17" s="263" customFormat="1" x14ac:dyDescent="0.2">
      <c r="H320" s="394"/>
      <c r="I320" s="394"/>
      <c r="J320" s="394"/>
      <c r="K320" s="262"/>
      <c r="L320" s="262"/>
      <c r="M320" s="262"/>
      <c r="N320" s="262"/>
      <c r="O320" s="262"/>
      <c r="P320" s="262"/>
      <c r="Q320" s="262"/>
    </row>
    <row r="321" spans="8:17" s="263" customFormat="1" x14ac:dyDescent="0.2">
      <c r="H321" s="394"/>
      <c r="I321" s="394"/>
      <c r="J321" s="394"/>
      <c r="K321" s="262"/>
      <c r="L321" s="262"/>
      <c r="M321" s="262"/>
      <c r="N321" s="262"/>
      <c r="O321" s="262"/>
      <c r="P321" s="262"/>
      <c r="Q321" s="262"/>
    </row>
    <row r="322" spans="8:17" s="263" customFormat="1" x14ac:dyDescent="0.2">
      <c r="H322" s="394"/>
      <c r="I322" s="394"/>
      <c r="J322" s="394"/>
      <c r="K322" s="262"/>
      <c r="L322" s="262"/>
      <c r="M322" s="262"/>
      <c r="N322" s="262"/>
      <c r="O322" s="262"/>
      <c r="P322" s="262"/>
      <c r="Q322" s="262"/>
    </row>
    <row r="323" spans="8:17" s="263" customFormat="1" x14ac:dyDescent="0.2">
      <c r="H323" s="394"/>
      <c r="I323" s="394"/>
      <c r="J323" s="394"/>
      <c r="K323" s="262"/>
      <c r="L323" s="262"/>
      <c r="M323" s="262"/>
      <c r="N323" s="262"/>
      <c r="O323" s="262"/>
      <c r="P323" s="262"/>
      <c r="Q323" s="262"/>
    </row>
    <row r="324" spans="8:17" s="263" customFormat="1" x14ac:dyDescent="0.2">
      <c r="H324" s="394"/>
      <c r="I324" s="394"/>
      <c r="J324" s="394"/>
      <c r="K324" s="262"/>
      <c r="L324" s="262"/>
      <c r="M324" s="262"/>
      <c r="N324" s="262"/>
      <c r="O324" s="262"/>
      <c r="P324" s="262"/>
      <c r="Q324" s="262"/>
    </row>
    <row r="325" spans="8:17" s="263" customFormat="1" x14ac:dyDescent="0.2">
      <c r="H325" s="394"/>
      <c r="I325" s="394"/>
      <c r="J325" s="394"/>
      <c r="K325" s="262"/>
      <c r="L325" s="262"/>
      <c r="M325" s="262"/>
      <c r="N325" s="262"/>
      <c r="O325" s="262"/>
      <c r="P325" s="262"/>
      <c r="Q325" s="262"/>
    </row>
    <row r="326" spans="8:17" s="263" customFormat="1" x14ac:dyDescent="0.2">
      <c r="H326" s="394"/>
      <c r="I326" s="394"/>
      <c r="J326" s="394"/>
      <c r="K326" s="262"/>
      <c r="L326" s="262"/>
      <c r="M326" s="262"/>
      <c r="N326" s="262"/>
      <c r="O326" s="262"/>
      <c r="P326" s="262"/>
      <c r="Q326" s="262"/>
    </row>
    <row r="327" spans="8:17" s="263" customFormat="1" x14ac:dyDescent="0.2">
      <c r="H327" s="394"/>
      <c r="I327" s="394"/>
      <c r="J327" s="394"/>
      <c r="K327" s="262"/>
      <c r="L327" s="262"/>
      <c r="M327" s="262"/>
      <c r="N327" s="262"/>
      <c r="O327" s="262"/>
      <c r="P327" s="262"/>
      <c r="Q327" s="262"/>
    </row>
    <row r="328" spans="8:17" s="263" customFormat="1" x14ac:dyDescent="0.2">
      <c r="H328" s="394"/>
      <c r="I328" s="394"/>
      <c r="J328" s="394"/>
      <c r="K328" s="262"/>
      <c r="L328" s="262"/>
      <c r="M328" s="262"/>
      <c r="N328" s="262"/>
      <c r="O328" s="262"/>
      <c r="P328" s="262"/>
      <c r="Q328" s="262"/>
    </row>
    <row r="329" spans="8:17" s="263" customFormat="1" x14ac:dyDescent="0.2">
      <c r="H329" s="394"/>
      <c r="I329" s="394"/>
      <c r="J329" s="394"/>
      <c r="K329" s="262"/>
      <c r="L329" s="262"/>
      <c r="M329" s="262"/>
      <c r="N329" s="262"/>
      <c r="O329" s="262"/>
      <c r="P329" s="262"/>
      <c r="Q329" s="262"/>
    </row>
    <row r="330" spans="8:17" s="263" customFormat="1" x14ac:dyDescent="0.2">
      <c r="H330" s="394"/>
      <c r="I330" s="394"/>
      <c r="J330" s="394"/>
      <c r="K330" s="262"/>
      <c r="L330" s="262"/>
      <c r="M330" s="262"/>
      <c r="N330" s="262"/>
      <c r="O330" s="262"/>
      <c r="P330" s="262"/>
      <c r="Q330" s="262"/>
    </row>
    <row r="331" spans="8:17" s="263" customFormat="1" x14ac:dyDescent="0.2">
      <c r="H331" s="394"/>
      <c r="I331" s="394"/>
      <c r="J331" s="394"/>
      <c r="K331" s="262"/>
      <c r="L331" s="262"/>
      <c r="M331" s="262"/>
      <c r="N331" s="262"/>
      <c r="O331" s="262"/>
      <c r="P331" s="262"/>
      <c r="Q331" s="262"/>
    </row>
    <row r="332" spans="8:17" s="263" customFormat="1" x14ac:dyDescent="0.2">
      <c r="H332" s="394"/>
      <c r="I332" s="394"/>
      <c r="J332" s="394"/>
      <c r="K332" s="262"/>
      <c r="L332" s="262"/>
      <c r="M332" s="262"/>
      <c r="N332" s="262"/>
      <c r="O332" s="262"/>
      <c r="P332" s="262"/>
      <c r="Q332" s="262"/>
    </row>
    <row r="333" spans="8:17" s="263" customFormat="1" x14ac:dyDescent="0.2">
      <c r="H333" s="394"/>
      <c r="I333" s="394"/>
      <c r="J333" s="394"/>
      <c r="K333" s="262"/>
      <c r="L333" s="262"/>
      <c r="M333" s="262"/>
      <c r="N333" s="262"/>
      <c r="O333" s="262"/>
      <c r="P333" s="262"/>
      <c r="Q333" s="262"/>
    </row>
    <row r="334" spans="8:17" s="263" customFormat="1" x14ac:dyDescent="0.2">
      <c r="H334" s="394"/>
      <c r="I334" s="394"/>
      <c r="J334" s="394"/>
      <c r="K334" s="262"/>
      <c r="L334" s="262"/>
      <c r="M334" s="262"/>
      <c r="N334" s="262"/>
      <c r="O334" s="262"/>
      <c r="P334" s="262"/>
      <c r="Q334" s="262"/>
    </row>
    <row r="335" spans="8:17" s="263" customFormat="1" x14ac:dyDescent="0.2">
      <c r="H335" s="394"/>
      <c r="I335" s="394"/>
      <c r="J335" s="394"/>
      <c r="K335" s="262"/>
      <c r="L335" s="262"/>
      <c r="M335" s="262"/>
      <c r="N335" s="262"/>
      <c r="O335" s="262"/>
      <c r="P335" s="262"/>
      <c r="Q335" s="262"/>
    </row>
    <row r="336" spans="8:17" s="263" customFormat="1" x14ac:dyDescent="0.2">
      <c r="H336" s="394"/>
      <c r="I336" s="394"/>
      <c r="J336" s="394"/>
      <c r="K336" s="262"/>
      <c r="L336" s="262"/>
      <c r="M336" s="262"/>
      <c r="N336" s="262"/>
      <c r="O336" s="262"/>
      <c r="P336" s="262"/>
      <c r="Q336" s="262"/>
    </row>
    <row r="337" spans="8:17" s="263" customFormat="1" x14ac:dyDescent="0.2">
      <c r="H337" s="394"/>
      <c r="I337" s="394"/>
      <c r="J337" s="394"/>
      <c r="K337" s="262"/>
      <c r="L337" s="262"/>
      <c r="M337" s="262"/>
      <c r="N337" s="262"/>
      <c r="O337" s="262"/>
      <c r="P337" s="262"/>
      <c r="Q337" s="262"/>
    </row>
    <row r="338" spans="8:17" s="263" customFormat="1" x14ac:dyDescent="0.2">
      <c r="H338" s="394"/>
      <c r="I338" s="394"/>
      <c r="J338" s="394"/>
      <c r="K338" s="262"/>
      <c r="L338" s="262"/>
      <c r="M338" s="262"/>
      <c r="N338" s="262"/>
      <c r="O338" s="262"/>
      <c r="P338" s="262"/>
      <c r="Q338" s="262"/>
    </row>
    <row r="339" spans="8:17" s="263" customFormat="1" x14ac:dyDescent="0.2">
      <c r="H339" s="394"/>
      <c r="I339" s="394"/>
      <c r="J339" s="394"/>
      <c r="K339" s="262"/>
      <c r="L339" s="262"/>
      <c r="M339" s="262"/>
      <c r="N339" s="262"/>
      <c r="O339" s="262"/>
      <c r="P339" s="262"/>
      <c r="Q339" s="262"/>
    </row>
    <row r="340" spans="8:17" s="263" customFormat="1" x14ac:dyDescent="0.2">
      <c r="H340" s="394"/>
      <c r="I340" s="394"/>
      <c r="J340" s="394"/>
      <c r="K340" s="262"/>
      <c r="L340" s="262"/>
      <c r="M340" s="262"/>
      <c r="N340" s="262"/>
      <c r="O340" s="262"/>
      <c r="P340" s="262"/>
      <c r="Q340" s="262"/>
    </row>
    <row r="341" spans="8:17" s="263" customFormat="1" x14ac:dyDescent="0.2">
      <c r="H341" s="394"/>
      <c r="I341" s="394"/>
      <c r="J341" s="394"/>
      <c r="K341" s="262"/>
      <c r="L341" s="262"/>
      <c r="M341" s="262"/>
      <c r="N341" s="262"/>
      <c r="O341" s="262"/>
      <c r="P341" s="262"/>
      <c r="Q341" s="262"/>
    </row>
    <row r="342" spans="8:17" s="263" customFormat="1" x14ac:dyDescent="0.2">
      <c r="H342" s="394"/>
      <c r="I342" s="394"/>
      <c r="J342" s="394"/>
      <c r="K342" s="262"/>
      <c r="L342" s="262"/>
      <c r="M342" s="262"/>
      <c r="N342" s="262"/>
      <c r="O342" s="262"/>
      <c r="P342" s="262"/>
      <c r="Q342" s="262"/>
    </row>
    <row r="343" spans="8:17" s="263" customFormat="1" x14ac:dyDescent="0.2">
      <c r="H343" s="394"/>
      <c r="I343" s="394"/>
      <c r="J343" s="394"/>
      <c r="K343" s="262"/>
      <c r="L343" s="262"/>
      <c r="M343" s="262"/>
      <c r="N343" s="262"/>
      <c r="O343" s="262"/>
      <c r="P343" s="262"/>
      <c r="Q343" s="262"/>
    </row>
    <row r="344" spans="8:17" s="263" customFormat="1" x14ac:dyDescent="0.2">
      <c r="H344" s="394"/>
      <c r="I344" s="394"/>
      <c r="J344" s="394"/>
      <c r="K344" s="262"/>
      <c r="L344" s="262"/>
      <c r="M344" s="262"/>
      <c r="N344" s="262"/>
      <c r="O344" s="262"/>
      <c r="P344" s="262"/>
      <c r="Q344" s="262"/>
    </row>
    <row r="345" spans="8:17" s="263" customFormat="1" x14ac:dyDescent="0.2">
      <c r="H345" s="394"/>
      <c r="I345" s="394"/>
      <c r="J345" s="394"/>
      <c r="K345" s="262"/>
      <c r="L345" s="262"/>
      <c r="M345" s="262"/>
      <c r="N345" s="262"/>
      <c r="O345" s="262"/>
      <c r="P345" s="262"/>
      <c r="Q345" s="262"/>
    </row>
    <row r="346" spans="8:17" s="263" customFormat="1" x14ac:dyDescent="0.2">
      <c r="H346" s="394"/>
      <c r="I346" s="394"/>
      <c r="J346" s="394"/>
      <c r="K346" s="262"/>
      <c r="L346" s="262"/>
      <c r="M346" s="262"/>
      <c r="N346" s="262"/>
      <c r="O346" s="262"/>
      <c r="P346" s="262"/>
      <c r="Q346" s="262"/>
    </row>
    <row r="347" spans="8:17" s="263" customFormat="1" x14ac:dyDescent="0.2">
      <c r="H347" s="394"/>
      <c r="I347" s="394"/>
      <c r="J347" s="394"/>
      <c r="K347" s="262"/>
      <c r="L347" s="262"/>
      <c r="M347" s="262"/>
      <c r="N347" s="262"/>
      <c r="O347" s="262"/>
      <c r="P347" s="262"/>
      <c r="Q347" s="262"/>
    </row>
    <row r="348" spans="8:17" s="263" customFormat="1" x14ac:dyDescent="0.2">
      <c r="H348" s="394"/>
      <c r="I348" s="394"/>
      <c r="J348" s="394"/>
      <c r="K348" s="262"/>
      <c r="L348" s="262"/>
      <c r="M348" s="262"/>
      <c r="N348" s="262"/>
      <c r="O348" s="262"/>
      <c r="P348" s="262"/>
      <c r="Q348" s="262"/>
    </row>
    <row r="349" spans="8:17" s="263" customFormat="1" x14ac:dyDescent="0.2">
      <c r="H349" s="394"/>
      <c r="I349" s="394"/>
      <c r="J349" s="394"/>
      <c r="K349" s="262"/>
      <c r="L349" s="262"/>
      <c r="M349" s="262"/>
      <c r="N349" s="262"/>
      <c r="O349" s="262"/>
      <c r="P349" s="262"/>
      <c r="Q349" s="262"/>
    </row>
    <row r="350" spans="8:17" s="263" customFormat="1" x14ac:dyDescent="0.2">
      <c r="H350" s="394"/>
      <c r="I350" s="394"/>
      <c r="J350" s="394"/>
      <c r="K350" s="262"/>
      <c r="L350" s="262"/>
      <c r="M350" s="262"/>
      <c r="N350" s="262"/>
      <c r="O350" s="262"/>
      <c r="P350" s="262"/>
      <c r="Q350" s="262"/>
    </row>
    <row r="351" spans="8:17" s="263" customFormat="1" x14ac:dyDescent="0.2">
      <c r="H351" s="394"/>
      <c r="I351" s="394"/>
      <c r="J351" s="394"/>
      <c r="K351" s="262"/>
      <c r="L351" s="262"/>
      <c r="M351" s="262"/>
      <c r="N351" s="262"/>
      <c r="O351" s="262"/>
      <c r="P351" s="262"/>
      <c r="Q351" s="262"/>
    </row>
    <row r="352" spans="8:17" s="263" customFormat="1" x14ac:dyDescent="0.2">
      <c r="H352" s="394"/>
      <c r="I352" s="394"/>
      <c r="J352" s="394"/>
      <c r="K352" s="262"/>
      <c r="L352" s="262"/>
      <c r="M352" s="262"/>
      <c r="N352" s="262"/>
      <c r="O352" s="262"/>
      <c r="P352" s="262"/>
      <c r="Q352" s="262"/>
    </row>
    <row r="353" spans="8:17" s="263" customFormat="1" x14ac:dyDescent="0.2">
      <c r="H353" s="394"/>
      <c r="I353" s="394"/>
      <c r="J353" s="394"/>
      <c r="K353" s="262"/>
      <c r="L353" s="262"/>
      <c r="M353" s="262"/>
      <c r="N353" s="262"/>
      <c r="O353" s="262"/>
      <c r="P353" s="262"/>
      <c r="Q353" s="262"/>
    </row>
    <row r="354" spans="8:17" s="263" customFormat="1" x14ac:dyDescent="0.2">
      <c r="H354" s="394"/>
      <c r="I354" s="394"/>
      <c r="J354" s="394"/>
      <c r="K354" s="262"/>
      <c r="L354" s="262"/>
      <c r="M354" s="262"/>
      <c r="N354" s="262"/>
      <c r="O354" s="262"/>
      <c r="P354" s="262"/>
      <c r="Q354" s="262"/>
    </row>
    <row r="355" spans="8:17" s="263" customFormat="1" x14ac:dyDescent="0.2">
      <c r="H355" s="394"/>
      <c r="I355" s="394"/>
      <c r="J355" s="394"/>
      <c r="K355" s="262"/>
      <c r="L355" s="262"/>
      <c r="M355" s="262"/>
      <c r="N355" s="262"/>
      <c r="O355" s="262"/>
      <c r="P355" s="262"/>
      <c r="Q355" s="262"/>
    </row>
    <row r="356" spans="8:17" s="263" customFormat="1" x14ac:dyDescent="0.2">
      <c r="H356" s="394"/>
      <c r="I356" s="394"/>
      <c r="J356" s="394"/>
      <c r="K356" s="262"/>
      <c r="L356" s="262"/>
      <c r="M356" s="262"/>
      <c r="N356" s="262"/>
      <c r="O356" s="262"/>
      <c r="P356" s="262"/>
      <c r="Q356" s="262"/>
    </row>
    <row r="357" spans="8:17" s="263" customFormat="1" x14ac:dyDescent="0.2">
      <c r="H357" s="394"/>
      <c r="I357" s="394"/>
      <c r="J357" s="394"/>
      <c r="K357" s="262"/>
      <c r="L357" s="262"/>
      <c r="M357" s="262"/>
      <c r="N357" s="262"/>
      <c r="O357" s="262"/>
      <c r="P357" s="262"/>
      <c r="Q357" s="262"/>
    </row>
    <row r="358" spans="8:17" s="263" customFormat="1" x14ac:dyDescent="0.2">
      <c r="H358" s="394"/>
      <c r="I358" s="394"/>
      <c r="J358" s="394"/>
      <c r="K358" s="262"/>
      <c r="L358" s="262"/>
      <c r="M358" s="262"/>
      <c r="N358" s="262"/>
      <c r="O358" s="262"/>
      <c r="P358" s="262"/>
      <c r="Q358" s="262"/>
    </row>
    <row r="359" spans="8:17" s="263" customFormat="1" x14ac:dyDescent="0.2">
      <c r="H359" s="394"/>
      <c r="I359" s="394"/>
      <c r="J359" s="394"/>
      <c r="K359" s="262"/>
      <c r="L359" s="262"/>
      <c r="M359" s="262"/>
      <c r="N359" s="262"/>
      <c r="O359" s="262"/>
      <c r="P359" s="262"/>
      <c r="Q359" s="262"/>
    </row>
    <row r="360" spans="8:17" s="263" customFormat="1" x14ac:dyDescent="0.2">
      <c r="H360" s="394"/>
      <c r="I360" s="394"/>
      <c r="J360" s="394"/>
      <c r="K360" s="262"/>
      <c r="L360" s="262"/>
      <c r="M360" s="262"/>
      <c r="N360" s="262"/>
      <c r="O360" s="262"/>
      <c r="P360" s="262"/>
      <c r="Q360" s="262"/>
    </row>
    <row r="361" spans="8:17" s="263" customFormat="1" x14ac:dyDescent="0.2">
      <c r="H361" s="394"/>
      <c r="I361" s="394"/>
      <c r="J361" s="394"/>
      <c r="K361" s="262"/>
      <c r="L361" s="262"/>
      <c r="M361" s="262"/>
      <c r="N361" s="262"/>
      <c r="O361" s="262"/>
      <c r="P361" s="262"/>
      <c r="Q361" s="262"/>
    </row>
    <row r="362" spans="8:17" s="263" customFormat="1" x14ac:dyDescent="0.2">
      <c r="H362" s="394"/>
      <c r="I362" s="394"/>
      <c r="J362" s="394"/>
      <c r="K362" s="262"/>
      <c r="L362" s="262"/>
      <c r="M362" s="262"/>
      <c r="N362" s="262"/>
      <c r="O362" s="262"/>
      <c r="P362" s="262"/>
      <c r="Q362" s="262"/>
    </row>
    <row r="363" spans="8:17" s="263" customFormat="1" x14ac:dyDescent="0.2">
      <c r="H363" s="394"/>
      <c r="I363" s="394"/>
      <c r="J363" s="394"/>
      <c r="K363" s="262"/>
      <c r="L363" s="262"/>
      <c r="M363" s="262"/>
      <c r="N363" s="262"/>
      <c r="O363" s="262"/>
      <c r="P363" s="262"/>
      <c r="Q363" s="262"/>
    </row>
    <row r="364" spans="8:17" s="263" customFormat="1" x14ac:dyDescent="0.2">
      <c r="H364" s="394"/>
      <c r="I364" s="394"/>
      <c r="J364" s="394"/>
      <c r="K364" s="262"/>
      <c r="L364" s="262"/>
      <c r="M364" s="262"/>
      <c r="N364" s="262"/>
      <c r="O364" s="262"/>
      <c r="P364" s="262"/>
      <c r="Q364" s="262"/>
    </row>
    <row r="365" spans="8:17" s="263" customFormat="1" x14ac:dyDescent="0.2">
      <c r="H365" s="394"/>
      <c r="I365" s="394"/>
      <c r="J365" s="394"/>
      <c r="K365" s="262"/>
      <c r="L365" s="262"/>
      <c r="M365" s="262"/>
      <c r="N365" s="262"/>
      <c r="O365" s="262"/>
      <c r="P365" s="262"/>
      <c r="Q365" s="262"/>
    </row>
    <row r="366" spans="8:17" s="263" customFormat="1" x14ac:dyDescent="0.2">
      <c r="H366" s="394"/>
      <c r="I366" s="394"/>
      <c r="J366" s="394"/>
      <c r="K366" s="262"/>
      <c r="L366" s="262"/>
      <c r="M366" s="262"/>
      <c r="N366" s="262"/>
      <c r="O366" s="262"/>
      <c r="P366" s="262"/>
      <c r="Q366" s="262"/>
    </row>
    <row r="367" spans="8:17" s="263" customFormat="1" x14ac:dyDescent="0.2">
      <c r="H367" s="394"/>
      <c r="I367" s="394"/>
      <c r="J367" s="394"/>
      <c r="K367" s="262"/>
      <c r="L367" s="262"/>
      <c r="M367" s="262"/>
      <c r="N367" s="262"/>
      <c r="O367" s="262"/>
      <c r="P367" s="262"/>
      <c r="Q367" s="262"/>
    </row>
    <row r="368" spans="8:17" s="263" customFormat="1" x14ac:dyDescent="0.2">
      <c r="H368" s="394"/>
      <c r="I368" s="394"/>
      <c r="J368" s="394"/>
      <c r="K368" s="262"/>
      <c r="L368" s="262"/>
      <c r="M368" s="262"/>
      <c r="N368" s="262"/>
      <c r="O368" s="262"/>
      <c r="P368" s="262"/>
      <c r="Q368" s="262"/>
    </row>
    <row r="369" spans="8:17" s="263" customFormat="1" x14ac:dyDescent="0.2">
      <c r="H369" s="394"/>
      <c r="I369" s="394"/>
      <c r="J369" s="394"/>
      <c r="K369" s="262"/>
      <c r="L369" s="262"/>
      <c r="M369" s="262"/>
      <c r="N369" s="262"/>
      <c r="O369" s="262"/>
      <c r="P369" s="262"/>
      <c r="Q369" s="262"/>
    </row>
    <row r="370" spans="8:17" s="263" customFormat="1" x14ac:dyDescent="0.2">
      <c r="H370" s="394"/>
      <c r="I370" s="394"/>
      <c r="J370" s="394"/>
      <c r="K370" s="262"/>
      <c r="L370" s="262"/>
      <c r="M370" s="262"/>
      <c r="N370" s="262"/>
      <c r="O370" s="262"/>
      <c r="P370" s="262"/>
      <c r="Q370" s="262"/>
    </row>
    <row r="371" spans="8:17" s="263" customFormat="1" x14ac:dyDescent="0.2">
      <c r="H371" s="394"/>
      <c r="I371" s="394"/>
      <c r="J371" s="394"/>
      <c r="K371" s="262"/>
      <c r="L371" s="262"/>
      <c r="M371" s="262"/>
      <c r="N371" s="262"/>
      <c r="O371" s="262"/>
      <c r="P371" s="262"/>
      <c r="Q371" s="262"/>
    </row>
    <row r="372" spans="8:17" s="263" customFormat="1" x14ac:dyDescent="0.2">
      <c r="H372" s="394"/>
      <c r="I372" s="394"/>
      <c r="J372" s="394"/>
      <c r="K372" s="262"/>
      <c r="L372" s="262"/>
      <c r="M372" s="262"/>
      <c r="N372" s="262"/>
      <c r="O372" s="262"/>
      <c r="P372" s="262"/>
      <c r="Q372" s="262"/>
    </row>
    <row r="373" spans="8:17" s="263" customFormat="1" x14ac:dyDescent="0.2">
      <c r="H373" s="394"/>
      <c r="I373" s="394"/>
      <c r="J373" s="394"/>
      <c r="K373" s="262"/>
      <c r="L373" s="262"/>
      <c r="M373" s="262"/>
      <c r="N373" s="262"/>
      <c r="O373" s="262"/>
      <c r="P373" s="262"/>
      <c r="Q373" s="262"/>
    </row>
    <row r="374" spans="8:17" s="263" customFormat="1" x14ac:dyDescent="0.2">
      <c r="H374" s="394"/>
      <c r="I374" s="394"/>
      <c r="J374" s="394"/>
      <c r="K374" s="262"/>
      <c r="L374" s="262"/>
      <c r="M374" s="262"/>
      <c r="N374" s="262"/>
      <c r="O374" s="262"/>
      <c r="P374" s="262"/>
      <c r="Q374" s="262"/>
    </row>
    <row r="375" spans="8:17" s="263" customFormat="1" x14ac:dyDescent="0.2">
      <c r="H375" s="394"/>
      <c r="I375" s="394"/>
      <c r="J375" s="394"/>
      <c r="K375" s="262"/>
      <c r="L375" s="262"/>
      <c r="M375" s="262"/>
      <c r="N375" s="262"/>
      <c r="O375" s="262"/>
      <c r="P375" s="262"/>
      <c r="Q375" s="262"/>
    </row>
    <row r="376" spans="8:17" s="263" customFormat="1" x14ac:dyDescent="0.2">
      <c r="H376" s="394"/>
      <c r="I376" s="394"/>
      <c r="J376" s="394"/>
      <c r="K376" s="262"/>
      <c r="L376" s="262"/>
      <c r="M376" s="262"/>
      <c r="N376" s="262"/>
      <c r="O376" s="262"/>
      <c r="P376" s="262"/>
      <c r="Q376" s="262"/>
    </row>
    <row r="377" spans="8:17" s="263" customFormat="1" x14ac:dyDescent="0.2">
      <c r="H377" s="394"/>
      <c r="I377" s="394"/>
      <c r="J377" s="394"/>
      <c r="K377" s="262"/>
      <c r="L377" s="262"/>
      <c r="M377" s="262"/>
      <c r="N377" s="262"/>
      <c r="O377" s="262"/>
      <c r="P377" s="262"/>
      <c r="Q377" s="262"/>
    </row>
    <row r="378" spans="8:17" s="263" customFormat="1" x14ac:dyDescent="0.2">
      <c r="H378" s="394"/>
      <c r="I378" s="394"/>
      <c r="J378" s="394"/>
      <c r="K378" s="262"/>
      <c r="L378" s="262"/>
      <c r="M378" s="262"/>
      <c r="N378" s="262"/>
      <c r="O378" s="262"/>
      <c r="P378" s="262"/>
      <c r="Q378" s="262"/>
    </row>
    <row r="379" spans="8:17" s="263" customFormat="1" x14ac:dyDescent="0.2">
      <c r="H379" s="394"/>
      <c r="I379" s="394"/>
      <c r="J379" s="394"/>
      <c r="K379" s="262"/>
      <c r="L379" s="262"/>
      <c r="M379" s="262"/>
      <c r="N379" s="262"/>
      <c r="O379" s="262"/>
      <c r="P379" s="262"/>
      <c r="Q379" s="262"/>
    </row>
    <row r="380" spans="8:17" s="263" customFormat="1" x14ac:dyDescent="0.2">
      <c r="H380" s="394"/>
      <c r="I380" s="394"/>
      <c r="J380" s="394"/>
      <c r="K380" s="262"/>
      <c r="L380" s="262"/>
      <c r="M380" s="262"/>
      <c r="N380" s="262"/>
      <c r="O380" s="262"/>
      <c r="P380" s="262"/>
      <c r="Q380" s="262"/>
    </row>
    <row r="381" spans="8:17" s="263" customFormat="1" x14ac:dyDescent="0.2">
      <c r="H381" s="394"/>
      <c r="I381" s="394"/>
      <c r="J381" s="394"/>
      <c r="K381" s="262"/>
      <c r="L381" s="262"/>
      <c r="M381" s="262"/>
      <c r="N381" s="262"/>
      <c r="O381" s="262"/>
      <c r="P381" s="262"/>
      <c r="Q381" s="262"/>
    </row>
    <row r="382" spans="8:17" s="263" customFormat="1" x14ac:dyDescent="0.2">
      <c r="H382" s="394"/>
      <c r="I382" s="394"/>
      <c r="J382" s="394"/>
      <c r="K382" s="262"/>
      <c r="L382" s="262"/>
      <c r="M382" s="262"/>
      <c r="N382" s="262"/>
      <c r="O382" s="262"/>
      <c r="P382" s="262"/>
      <c r="Q382" s="262"/>
    </row>
    <row r="383" spans="8:17" s="263" customFormat="1" x14ac:dyDescent="0.2">
      <c r="H383" s="394"/>
      <c r="I383" s="394"/>
      <c r="J383" s="394"/>
      <c r="K383" s="262"/>
      <c r="L383" s="262"/>
      <c r="M383" s="262"/>
      <c r="N383" s="262"/>
      <c r="O383" s="262"/>
      <c r="P383" s="262"/>
      <c r="Q383" s="262"/>
    </row>
    <row r="384" spans="8:17" s="263" customFormat="1" x14ac:dyDescent="0.2">
      <c r="H384" s="394"/>
      <c r="I384" s="394"/>
      <c r="J384" s="394"/>
      <c r="K384" s="262"/>
      <c r="L384" s="262"/>
      <c r="M384" s="262"/>
      <c r="N384" s="262"/>
      <c r="O384" s="262"/>
      <c r="P384" s="262"/>
      <c r="Q384" s="262"/>
    </row>
    <row r="385" spans="8:17" s="263" customFormat="1" x14ac:dyDescent="0.2">
      <c r="H385" s="394"/>
      <c r="I385" s="394"/>
      <c r="J385" s="394"/>
      <c r="K385" s="262"/>
      <c r="L385" s="262"/>
      <c r="M385" s="262"/>
      <c r="N385" s="262"/>
      <c r="O385" s="262"/>
      <c r="P385" s="262"/>
      <c r="Q385" s="262"/>
    </row>
    <row r="386" spans="8:17" s="263" customFormat="1" x14ac:dyDescent="0.2">
      <c r="H386" s="394"/>
      <c r="I386" s="394"/>
      <c r="J386" s="394"/>
      <c r="K386" s="262"/>
      <c r="L386" s="262"/>
      <c r="M386" s="262"/>
      <c r="N386" s="262"/>
      <c r="O386" s="262"/>
      <c r="P386" s="262"/>
      <c r="Q386" s="262"/>
    </row>
    <row r="387" spans="8:17" s="263" customFormat="1" x14ac:dyDescent="0.2">
      <c r="H387" s="394"/>
      <c r="I387" s="394"/>
      <c r="J387" s="394"/>
      <c r="K387" s="262"/>
      <c r="L387" s="262"/>
      <c r="M387" s="262"/>
      <c r="N387" s="262"/>
      <c r="O387" s="262"/>
      <c r="P387" s="262"/>
      <c r="Q387" s="262"/>
    </row>
    <row r="388" spans="8:17" s="263" customFormat="1" x14ac:dyDescent="0.2">
      <c r="H388" s="394"/>
      <c r="I388" s="394"/>
      <c r="J388" s="394"/>
      <c r="K388" s="262"/>
      <c r="L388" s="262"/>
      <c r="M388" s="262"/>
      <c r="N388" s="262"/>
      <c r="O388" s="262"/>
      <c r="P388" s="262"/>
      <c r="Q388" s="262"/>
    </row>
    <row r="389" spans="8:17" s="263" customFormat="1" x14ac:dyDescent="0.2">
      <c r="H389" s="394"/>
      <c r="I389" s="394"/>
      <c r="J389" s="394"/>
      <c r="K389" s="262"/>
      <c r="L389" s="262"/>
      <c r="M389" s="262"/>
      <c r="N389" s="262"/>
      <c r="O389" s="262"/>
      <c r="P389" s="262"/>
      <c r="Q389" s="262"/>
    </row>
    <row r="390" spans="8:17" s="263" customFormat="1" x14ac:dyDescent="0.2">
      <c r="H390" s="394"/>
      <c r="I390" s="394"/>
      <c r="J390" s="394"/>
      <c r="K390" s="262"/>
      <c r="L390" s="262"/>
      <c r="M390" s="262"/>
      <c r="N390" s="262"/>
      <c r="O390" s="262"/>
      <c r="P390" s="262"/>
      <c r="Q390" s="262"/>
    </row>
    <row r="391" spans="8:17" s="263" customFormat="1" x14ac:dyDescent="0.2">
      <c r="H391" s="394"/>
      <c r="I391" s="394"/>
      <c r="J391" s="394"/>
      <c r="K391" s="262"/>
      <c r="L391" s="262"/>
      <c r="M391" s="262"/>
      <c r="N391" s="262"/>
      <c r="O391" s="262"/>
      <c r="P391" s="262"/>
      <c r="Q391" s="262"/>
    </row>
    <row r="392" spans="8:17" s="263" customFormat="1" x14ac:dyDescent="0.2">
      <c r="H392" s="394"/>
      <c r="I392" s="394"/>
      <c r="J392" s="394"/>
      <c r="K392" s="262"/>
      <c r="L392" s="262"/>
      <c r="M392" s="262"/>
      <c r="N392" s="262"/>
      <c r="O392" s="262"/>
      <c r="P392" s="262"/>
      <c r="Q392" s="262"/>
    </row>
    <row r="393" spans="8:17" s="263" customFormat="1" x14ac:dyDescent="0.2">
      <c r="H393" s="394"/>
      <c r="I393" s="394"/>
      <c r="J393" s="394"/>
      <c r="K393" s="262"/>
      <c r="L393" s="262"/>
      <c r="M393" s="262"/>
      <c r="N393" s="262"/>
      <c r="O393" s="262"/>
      <c r="P393" s="262"/>
      <c r="Q393" s="262"/>
    </row>
    <row r="394" spans="8:17" s="263" customFormat="1" x14ac:dyDescent="0.2">
      <c r="H394" s="394"/>
      <c r="I394" s="394"/>
      <c r="J394" s="394"/>
      <c r="K394" s="262"/>
      <c r="L394" s="262"/>
      <c r="M394" s="262"/>
      <c r="N394" s="262"/>
      <c r="O394" s="262"/>
      <c r="P394" s="262"/>
      <c r="Q394" s="262"/>
    </row>
    <row r="395" spans="8:17" s="263" customFormat="1" x14ac:dyDescent="0.2">
      <c r="H395" s="394"/>
      <c r="I395" s="394"/>
      <c r="J395" s="394"/>
      <c r="K395" s="262"/>
      <c r="L395" s="262"/>
      <c r="M395" s="262"/>
      <c r="N395" s="262"/>
      <c r="O395" s="262"/>
      <c r="P395" s="262"/>
      <c r="Q395" s="262"/>
    </row>
    <row r="396" spans="8:17" s="263" customFormat="1" x14ac:dyDescent="0.2">
      <c r="H396" s="394"/>
      <c r="I396" s="394"/>
      <c r="J396" s="394"/>
      <c r="K396" s="262"/>
      <c r="L396" s="262"/>
      <c r="M396" s="262"/>
      <c r="N396" s="262"/>
      <c r="O396" s="262"/>
      <c r="P396" s="262"/>
      <c r="Q396" s="262"/>
    </row>
    <row r="397" spans="8:17" s="263" customFormat="1" x14ac:dyDescent="0.2">
      <c r="H397" s="394"/>
      <c r="I397" s="394"/>
      <c r="J397" s="394"/>
      <c r="K397" s="262"/>
      <c r="L397" s="262"/>
      <c r="M397" s="262"/>
      <c r="N397" s="262"/>
      <c r="O397" s="262"/>
      <c r="P397" s="262"/>
      <c r="Q397" s="262"/>
    </row>
    <row r="398" spans="8:17" s="263" customFormat="1" x14ac:dyDescent="0.2">
      <c r="H398" s="394"/>
      <c r="I398" s="394"/>
      <c r="J398" s="394"/>
      <c r="K398" s="262"/>
      <c r="L398" s="262"/>
      <c r="M398" s="262"/>
      <c r="N398" s="262"/>
      <c r="O398" s="262"/>
      <c r="P398" s="262"/>
      <c r="Q398" s="262"/>
    </row>
    <row r="399" spans="8:17" s="263" customFormat="1" x14ac:dyDescent="0.2">
      <c r="H399" s="394"/>
      <c r="I399" s="394"/>
      <c r="J399" s="394"/>
      <c r="K399" s="262"/>
      <c r="L399" s="262"/>
      <c r="M399" s="262"/>
      <c r="N399" s="262"/>
      <c r="O399" s="262"/>
      <c r="P399" s="262"/>
      <c r="Q399" s="262"/>
    </row>
    <row r="400" spans="8:17" s="263" customFormat="1" x14ac:dyDescent="0.2">
      <c r="H400" s="394"/>
      <c r="I400" s="394"/>
      <c r="J400" s="394"/>
      <c r="K400" s="262"/>
      <c r="L400" s="262"/>
      <c r="M400" s="262"/>
      <c r="N400" s="262"/>
      <c r="O400" s="262"/>
      <c r="P400" s="262"/>
      <c r="Q400" s="262"/>
    </row>
    <row r="401" spans="8:17" s="263" customFormat="1" x14ac:dyDescent="0.2">
      <c r="H401" s="394"/>
      <c r="I401" s="394"/>
      <c r="J401" s="394"/>
      <c r="K401" s="262"/>
      <c r="L401" s="262"/>
      <c r="M401" s="262"/>
      <c r="N401" s="262"/>
      <c r="O401" s="262"/>
      <c r="P401" s="262"/>
      <c r="Q401" s="262"/>
    </row>
    <row r="402" spans="8:17" s="263" customFormat="1" x14ac:dyDescent="0.2">
      <c r="H402" s="394"/>
      <c r="I402" s="394"/>
      <c r="J402" s="394"/>
      <c r="K402" s="262"/>
      <c r="L402" s="262"/>
      <c r="M402" s="262"/>
      <c r="N402" s="262"/>
      <c r="O402" s="262"/>
      <c r="P402" s="262"/>
      <c r="Q402" s="262"/>
    </row>
    <row r="403" spans="8:17" s="263" customFormat="1" x14ac:dyDescent="0.2">
      <c r="H403" s="394"/>
      <c r="I403" s="394"/>
      <c r="J403" s="394"/>
      <c r="K403" s="262"/>
      <c r="L403" s="262"/>
      <c r="M403" s="262"/>
      <c r="N403" s="262"/>
      <c r="O403" s="262"/>
      <c r="P403" s="262"/>
      <c r="Q403" s="262"/>
    </row>
    <row r="404" spans="8:17" s="263" customFormat="1" x14ac:dyDescent="0.2">
      <c r="H404" s="394"/>
      <c r="I404" s="394"/>
      <c r="J404" s="394"/>
      <c r="K404" s="262"/>
      <c r="L404" s="262"/>
      <c r="M404" s="262"/>
      <c r="N404" s="262"/>
      <c r="O404" s="262"/>
      <c r="P404" s="262"/>
      <c r="Q404" s="262"/>
    </row>
    <row r="405" spans="8:17" s="263" customFormat="1" x14ac:dyDescent="0.2">
      <c r="H405" s="394"/>
      <c r="I405" s="394"/>
      <c r="J405" s="394"/>
      <c r="K405" s="262"/>
      <c r="L405" s="262"/>
      <c r="M405" s="262"/>
      <c r="N405" s="262"/>
      <c r="O405" s="262"/>
      <c r="P405" s="262"/>
      <c r="Q405" s="262"/>
    </row>
    <row r="406" spans="8:17" s="263" customFormat="1" x14ac:dyDescent="0.2">
      <c r="H406" s="394"/>
      <c r="I406" s="394"/>
      <c r="J406" s="394"/>
      <c r="K406" s="262"/>
      <c r="L406" s="262"/>
      <c r="M406" s="262"/>
      <c r="N406" s="262"/>
      <c r="O406" s="262"/>
      <c r="P406" s="262"/>
      <c r="Q406" s="262"/>
    </row>
    <row r="407" spans="8:17" s="263" customFormat="1" x14ac:dyDescent="0.2">
      <c r="H407" s="394"/>
      <c r="I407" s="394"/>
      <c r="J407" s="394"/>
      <c r="K407" s="262"/>
      <c r="L407" s="262"/>
      <c r="M407" s="262"/>
      <c r="N407" s="262"/>
      <c r="O407" s="262"/>
      <c r="P407" s="262"/>
      <c r="Q407" s="262"/>
    </row>
    <row r="408" spans="8:17" s="263" customFormat="1" x14ac:dyDescent="0.2">
      <c r="H408" s="394"/>
      <c r="I408" s="394"/>
      <c r="J408" s="394"/>
      <c r="K408" s="262"/>
      <c r="L408" s="262"/>
      <c r="M408" s="262"/>
      <c r="N408" s="262"/>
      <c r="O408" s="262"/>
      <c r="P408" s="262"/>
      <c r="Q408" s="262"/>
    </row>
    <row r="409" spans="8:17" s="263" customFormat="1" x14ac:dyDescent="0.2">
      <c r="H409" s="394"/>
      <c r="I409" s="394"/>
      <c r="J409" s="394"/>
      <c r="K409" s="262"/>
      <c r="L409" s="262"/>
      <c r="M409" s="262"/>
      <c r="N409" s="262"/>
      <c r="O409" s="262"/>
      <c r="P409" s="262"/>
      <c r="Q409" s="262"/>
    </row>
    <row r="410" spans="8:17" s="263" customFormat="1" x14ac:dyDescent="0.2">
      <c r="H410" s="394"/>
      <c r="I410" s="394"/>
      <c r="J410" s="394"/>
      <c r="K410" s="262"/>
      <c r="L410" s="262"/>
      <c r="M410" s="262"/>
      <c r="N410" s="262"/>
      <c r="O410" s="262"/>
      <c r="P410" s="262"/>
      <c r="Q410" s="262"/>
    </row>
    <row r="411" spans="8:17" s="263" customFormat="1" x14ac:dyDescent="0.2">
      <c r="H411" s="394"/>
      <c r="I411" s="394"/>
      <c r="J411" s="394"/>
      <c r="K411" s="262"/>
      <c r="L411" s="262"/>
      <c r="M411" s="262"/>
      <c r="N411" s="262"/>
      <c r="O411" s="262"/>
      <c r="P411" s="262"/>
      <c r="Q411" s="262"/>
    </row>
    <row r="412" spans="8:17" s="263" customFormat="1" x14ac:dyDescent="0.2">
      <c r="H412" s="394"/>
      <c r="I412" s="394"/>
      <c r="J412" s="394"/>
      <c r="K412" s="262"/>
      <c r="L412" s="262"/>
      <c r="M412" s="262"/>
      <c r="N412" s="262"/>
      <c r="O412" s="262"/>
      <c r="P412" s="262"/>
      <c r="Q412" s="262"/>
    </row>
    <row r="413" spans="8:17" s="263" customFormat="1" x14ac:dyDescent="0.2">
      <c r="H413" s="394"/>
      <c r="I413" s="394"/>
      <c r="J413" s="394"/>
      <c r="K413" s="262"/>
      <c r="L413" s="262"/>
      <c r="M413" s="262"/>
      <c r="N413" s="262"/>
      <c r="O413" s="262"/>
      <c r="P413" s="262"/>
      <c r="Q413" s="262"/>
    </row>
    <row r="414" spans="8:17" s="263" customFormat="1" x14ac:dyDescent="0.2">
      <c r="H414" s="394"/>
      <c r="I414" s="394"/>
      <c r="J414" s="394"/>
      <c r="K414" s="262"/>
      <c r="L414" s="262"/>
      <c r="M414" s="262"/>
      <c r="N414" s="262"/>
      <c r="O414" s="262"/>
      <c r="P414" s="262"/>
      <c r="Q414" s="262"/>
    </row>
    <row r="415" spans="8:17" s="263" customFormat="1" x14ac:dyDescent="0.2">
      <c r="H415" s="394"/>
      <c r="I415" s="394"/>
      <c r="J415" s="394"/>
      <c r="K415" s="262"/>
      <c r="L415" s="262"/>
      <c r="M415" s="262"/>
      <c r="N415" s="262"/>
      <c r="O415" s="262"/>
      <c r="P415" s="262"/>
      <c r="Q415" s="262"/>
    </row>
    <row r="416" spans="8:17" s="263" customFormat="1" x14ac:dyDescent="0.2">
      <c r="H416" s="394"/>
      <c r="I416" s="394"/>
      <c r="J416" s="394"/>
      <c r="K416" s="262"/>
      <c r="L416" s="262"/>
      <c r="M416" s="262"/>
      <c r="N416" s="262"/>
      <c r="O416" s="262"/>
      <c r="P416" s="262"/>
      <c r="Q416" s="262"/>
    </row>
    <row r="417" spans="8:17" s="263" customFormat="1" x14ac:dyDescent="0.2">
      <c r="H417" s="394"/>
      <c r="I417" s="394"/>
      <c r="J417" s="394"/>
      <c r="K417" s="262"/>
      <c r="L417" s="262"/>
      <c r="M417" s="262"/>
      <c r="N417" s="262"/>
      <c r="O417" s="262"/>
      <c r="P417" s="262"/>
      <c r="Q417" s="262"/>
    </row>
    <row r="418" spans="8:17" s="263" customFormat="1" x14ac:dyDescent="0.2">
      <c r="H418" s="394"/>
      <c r="I418" s="394"/>
      <c r="J418" s="394"/>
      <c r="K418" s="262"/>
      <c r="L418" s="262"/>
      <c r="M418" s="262"/>
      <c r="N418" s="262"/>
      <c r="O418" s="262"/>
      <c r="P418" s="262"/>
      <c r="Q418" s="262"/>
    </row>
    <row r="419" spans="8:17" s="263" customFormat="1" x14ac:dyDescent="0.2">
      <c r="H419" s="394"/>
      <c r="I419" s="394"/>
      <c r="J419" s="394"/>
      <c r="K419" s="262"/>
      <c r="L419" s="262"/>
      <c r="M419" s="262"/>
      <c r="N419" s="262"/>
      <c r="O419" s="262"/>
      <c r="P419" s="262"/>
      <c r="Q419" s="262"/>
    </row>
    <row r="420" spans="8:17" s="263" customFormat="1" x14ac:dyDescent="0.2">
      <c r="H420" s="394"/>
      <c r="I420" s="394"/>
      <c r="J420" s="394"/>
      <c r="K420" s="262"/>
      <c r="L420" s="262"/>
      <c r="M420" s="262"/>
      <c r="N420" s="262"/>
      <c r="O420" s="262"/>
      <c r="P420" s="262"/>
      <c r="Q420" s="262"/>
    </row>
    <row r="421" spans="8:17" s="263" customFormat="1" x14ac:dyDescent="0.2">
      <c r="H421" s="394"/>
      <c r="I421" s="394"/>
      <c r="J421" s="394"/>
      <c r="K421" s="262"/>
      <c r="L421" s="262"/>
      <c r="M421" s="262"/>
      <c r="N421" s="262"/>
      <c r="O421" s="262"/>
      <c r="P421" s="262"/>
      <c r="Q421" s="262"/>
    </row>
    <row r="422" spans="8:17" s="263" customFormat="1" x14ac:dyDescent="0.2">
      <c r="H422" s="394"/>
      <c r="I422" s="394"/>
      <c r="J422" s="394"/>
      <c r="K422" s="262"/>
      <c r="L422" s="262"/>
      <c r="M422" s="262"/>
      <c r="N422" s="262"/>
      <c r="O422" s="262"/>
      <c r="P422" s="262"/>
      <c r="Q422" s="262"/>
    </row>
    <row r="423" spans="8:17" s="263" customFormat="1" x14ac:dyDescent="0.2">
      <c r="H423" s="394"/>
      <c r="I423" s="394"/>
      <c r="J423" s="394"/>
      <c r="K423" s="262"/>
      <c r="L423" s="262"/>
      <c r="M423" s="262"/>
      <c r="N423" s="262"/>
      <c r="O423" s="262"/>
      <c r="P423" s="262"/>
      <c r="Q423" s="262"/>
    </row>
    <row r="424" spans="8:17" s="263" customFormat="1" x14ac:dyDescent="0.2">
      <c r="H424" s="394"/>
      <c r="I424" s="394"/>
      <c r="J424" s="394"/>
      <c r="K424" s="262"/>
      <c r="L424" s="262"/>
      <c r="M424" s="262"/>
      <c r="N424" s="262"/>
      <c r="O424" s="262"/>
      <c r="P424" s="262"/>
      <c r="Q424" s="262"/>
    </row>
    <row r="425" spans="8:17" s="263" customFormat="1" x14ac:dyDescent="0.2">
      <c r="H425" s="394"/>
      <c r="I425" s="394"/>
      <c r="J425" s="394"/>
      <c r="K425" s="262"/>
      <c r="L425" s="262"/>
      <c r="M425" s="262"/>
      <c r="N425" s="262"/>
      <c r="O425" s="262"/>
      <c r="P425" s="262"/>
      <c r="Q425" s="262"/>
    </row>
    <row r="426" spans="8:17" s="263" customFormat="1" x14ac:dyDescent="0.2">
      <c r="H426" s="394"/>
      <c r="I426" s="394"/>
      <c r="J426" s="394"/>
      <c r="K426" s="262"/>
      <c r="L426" s="262"/>
      <c r="M426" s="262"/>
      <c r="N426" s="262"/>
      <c r="O426" s="262"/>
      <c r="P426" s="262"/>
      <c r="Q426" s="262"/>
    </row>
    <row r="427" spans="8:17" s="263" customFormat="1" x14ac:dyDescent="0.2">
      <c r="H427" s="394"/>
      <c r="I427" s="394"/>
      <c r="J427" s="394"/>
      <c r="K427" s="262"/>
      <c r="L427" s="262"/>
      <c r="M427" s="262"/>
      <c r="N427" s="262"/>
      <c r="O427" s="262"/>
      <c r="P427" s="262"/>
      <c r="Q427" s="262"/>
    </row>
    <row r="428" spans="8:17" s="263" customFormat="1" x14ac:dyDescent="0.2">
      <c r="H428" s="394"/>
      <c r="I428" s="394"/>
      <c r="J428" s="394"/>
      <c r="K428" s="262"/>
      <c r="L428" s="262"/>
      <c r="M428" s="262"/>
      <c r="N428" s="262"/>
      <c r="O428" s="262"/>
      <c r="P428" s="262"/>
      <c r="Q428" s="262"/>
    </row>
    <row r="429" spans="8:17" s="263" customFormat="1" x14ac:dyDescent="0.2">
      <c r="H429" s="394"/>
      <c r="I429" s="394"/>
      <c r="J429" s="394"/>
      <c r="K429" s="262"/>
      <c r="L429" s="262"/>
      <c r="M429" s="262"/>
      <c r="N429" s="262"/>
      <c r="O429" s="262"/>
      <c r="P429" s="262"/>
      <c r="Q429" s="262"/>
    </row>
    <row r="430" spans="8:17" s="263" customFormat="1" x14ac:dyDescent="0.2">
      <c r="H430" s="394"/>
      <c r="I430" s="394"/>
      <c r="J430" s="394"/>
      <c r="K430" s="262"/>
      <c r="L430" s="262"/>
      <c r="M430" s="262"/>
      <c r="N430" s="262"/>
      <c r="O430" s="262"/>
      <c r="P430" s="262"/>
      <c r="Q430" s="262"/>
    </row>
    <row r="431" spans="8:17" s="263" customFormat="1" x14ac:dyDescent="0.2">
      <c r="H431" s="394"/>
      <c r="I431" s="394"/>
      <c r="J431" s="394"/>
      <c r="K431" s="262"/>
      <c r="L431" s="262"/>
      <c r="M431" s="262"/>
      <c r="N431" s="262"/>
      <c r="O431" s="262"/>
      <c r="P431" s="262"/>
      <c r="Q431" s="262"/>
    </row>
    <row r="432" spans="8:17" s="263" customFormat="1" x14ac:dyDescent="0.2">
      <c r="H432" s="394"/>
      <c r="I432" s="394"/>
      <c r="J432" s="394"/>
      <c r="K432" s="262"/>
      <c r="L432" s="262"/>
      <c r="M432" s="262"/>
      <c r="N432" s="262"/>
      <c r="O432" s="262"/>
      <c r="P432" s="262"/>
      <c r="Q432" s="262"/>
    </row>
    <row r="433" spans="8:17" s="263" customFormat="1" x14ac:dyDescent="0.2">
      <c r="H433" s="394"/>
      <c r="I433" s="394"/>
      <c r="J433" s="394"/>
      <c r="K433" s="262"/>
      <c r="L433" s="262"/>
      <c r="M433" s="262"/>
      <c r="N433" s="262"/>
      <c r="O433" s="262"/>
      <c r="P433" s="262"/>
      <c r="Q433" s="262"/>
    </row>
    <row r="434" spans="8:17" s="263" customFormat="1" x14ac:dyDescent="0.2">
      <c r="H434" s="394"/>
      <c r="I434" s="394"/>
      <c r="J434" s="394"/>
      <c r="K434" s="262"/>
      <c r="L434" s="262"/>
      <c r="M434" s="262"/>
      <c r="N434" s="262"/>
      <c r="O434" s="262"/>
      <c r="P434" s="262"/>
      <c r="Q434" s="262"/>
    </row>
    <row r="435" spans="8:17" s="263" customFormat="1" x14ac:dyDescent="0.2">
      <c r="H435" s="394"/>
      <c r="I435" s="394"/>
      <c r="J435" s="394"/>
      <c r="K435" s="262"/>
      <c r="L435" s="262"/>
      <c r="M435" s="262"/>
      <c r="N435" s="262"/>
      <c r="O435" s="262"/>
      <c r="P435" s="262"/>
      <c r="Q435" s="262"/>
    </row>
    <row r="436" spans="8:17" s="263" customFormat="1" x14ac:dyDescent="0.2">
      <c r="H436" s="394"/>
      <c r="I436" s="394"/>
      <c r="J436" s="394"/>
      <c r="K436" s="262"/>
      <c r="L436" s="262"/>
      <c r="M436" s="262"/>
      <c r="N436" s="262"/>
      <c r="O436" s="262"/>
      <c r="P436" s="262"/>
      <c r="Q436" s="262"/>
    </row>
    <row r="437" spans="8:17" s="263" customFormat="1" x14ac:dyDescent="0.2">
      <c r="H437" s="394"/>
      <c r="I437" s="394"/>
      <c r="J437" s="394"/>
      <c r="K437" s="262"/>
      <c r="L437" s="262"/>
      <c r="M437" s="262"/>
      <c r="N437" s="262"/>
      <c r="O437" s="262"/>
      <c r="P437" s="262"/>
      <c r="Q437" s="262"/>
    </row>
    <row r="438" spans="8:17" s="263" customFormat="1" x14ac:dyDescent="0.2">
      <c r="H438" s="394"/>
      <c r="I438" s="394"/>
      <c r="J438" s="394"/>
      <c r="K438" s="262"/>
      <c r="L438" s="262"/>
      <c r="M438" s="262"/>
      <c r="N438" s="262"/>
      <c r="O438" s="262"/>
      <c r="P438" s="262"/>
      <c r="Q438" s="262"/>
    </row>
    <row r="439" spans="8:17" s="263" customFormat="1" x14ac:dyDescent="0.2">
      <c r="H439" s="394"/>
      <c r="I439" s="394"/>
      <c r="J439" s="394"/>
      <c r="K439" s="262"/>
      <c r="L439" s="262"/>
      <c r="M439" s="262"/>
      <c r="N439" s="262"/>
      <c r="O439" s="262"/>
      <c r="P439" s="262"/>
      <c r="Q439" s="262"/>
    </row>
    <row r="440" spans="8:17" s="263" customFormat="1" x14ac:dyDescent="0.2">
      <c r="H440" s="394"/>
      <c r="I440" s="394"/>
      <c r="J440" s="394"/>
      <c r="K440" s="262"/>
      <c r="L440" s="262"/>
      <c r="M440" s="262"/>
      <c r="N440" s="262"/>
      <c r="O440" s="262"/>
      <c r="P440" s="262"/>
      <c r="Q440" s="262"/>
    </row>
    <row r="441" spans="8:17" s="263" customFormat="1" x14ac:dyDescent="0.2">
      <c r="H441" s="394"/>
      <c r="I441" s="394"/>
      <c r="J441" s="394"/>
      <c r="K441" s="262"/>
      <c r="L441" s="262"/>
      <c r="M441" s="262"/>
      <c r="N441" s="262"/>
      <c r="O441" s="262"/>
      <c r="P441" s="262"/>
      <c r="Q441" s="262"/>
    </row>
    <row r="442" spans="8:17" s="263" customFormat="1" x14ac:dyDescent="0.2">
      <c r="H442" s="394"/>
      <c r="I442" s="394"/>
      <c r="J442" s="394"/>
      <c r="K442" s="262"/>
      <c r="L442" s="262"/>
      <c r="M442" s="262"/>
      <c r="N442" s="262"/>
      <c r="O442" s="262"/>
      <c r="P442" s="262"/>
      <c r="Q442" s="262"/>
    </row>
    <row r="443" spans="8:17" s="263" customFormat="1" x14ac:dyDescent="0.2">
      <c r="H443" s="394"/>
      <c r="I443" s="394"/>
      <c r="J443" s="394"/>
      <c r="K443" s="262"/>
      <c r="L443" s="262"/>
      <c r="M443" s="262"/>
      <c r="N443" s="262"/>
      <c r="O443" s="262"/>
      <c r="P443" s="262"/>
      <c r="Q443" s="262"/>
    </row>
    <row r="444" spans="8:17" s="263" customFormat="1" x14ac:dyDescent="0.2">
      <c r="H444" s="394"/>
      <c r="I444" s="394"/>
      <c r="J444" s="394"/>
      <c r="K444" s="262"/>
      <c r="L444" s="262"/>
      <c r="M444" s="262"/>
      <c r="N444" s="262"/>
      <c r="O444" s="262"/>
      <c r="P444" s="262"/>
      <c r="Q444" s="262"/>
    </row>
    <row r="445" spans="8:17" s="263" customFormat="1" x14ac:dyDescent="0.2">
      <c r="H445" s="394"/>
      <c r="I445" s="394"/>
      <c r="J445" s="394"/>
      <c r="K445" s="262"/>
      <c r="L445" s="262"/>
      <c r="M445" s="262"/>
      <c r="N445" s="262"/>
      <c r="O445" s="262"/>
      <c r="P445" s="262"/>
      <c r="Q445" s="262"/>
    </row>
    <row r="446" spans="8:17" s="263" customFormat="1" x14ac:dyDescent="0.2">
      <c r="H446" s="394"/>
      <c r="I446" s="394"/>
      <c r="J446" s="394"/>
      <c r="K446" s="262"/>
      <c r="L446" s="262"/>
      <c r="M446" s="262"/>
      <c r="N446" s="262"/>
      <c r="O446" s="262"/>
      <c r="P446" s="262"/>
      <c r="Q446" s="262"/>
    </row>
    <row r="447" spans="8:17" s="263" customFormat="1" x14ac:dyDescent="0.2">
      <c r="H447" s="394"/>
      <c r="I447" s="394"/>
      <c r="J447" s="394"/>
      <c r="K447" s="262"/>
      <c r="L447" s="262"/>
      <c r="M447" s="262"/>
      <c r="N447" s="262"/>
      <c r="O447" s="262"/>
      <c r="P447" s="262"/>
      <c r="Q447" s="262"/>
    </row>
    <row r="448" spans="8:17" s="263" customFormat="1" x14ac:dyDescent="0.2">
      <c r="H448" s="394"/>
      <c r="I448" s="394"/>
      <c r="J448" s="394"/>
      <c r="K448" s="262"/>
      <c r="L448" s="262"/>
      <c r="M448" s="262"/>
      <c r="N448" s="262"/>
      <c r="O448" s="262"/>
      <c r="P448" s="262"/>
      <c r="Q448" s="262"/>
    </row>
    <row r="449" spans="8:17" s="263" customFormat="1" x14ac:dyDescent="0.2">
      <c r="H449" s="394"/>
      <c r="I449" s="394"/>
      <c r="J449" s="394"/>
      <c r="K449" s="262"/>
      <c r="L449" s="262"/>
      <c r="M449" s="262"/>
      <c r="N449" s="262"/>
      <c r="O449" s="262"/>
      <c r="P449" s="262"/>
      <c r="Q449" s="262"/>
    </row>
    <row r="450" spans="8:17" s="263" customFormat="1" x14ac:dyDescent="0.2">
      <c r="H450" s="394"/>
      <c r="I450" s="394"/>
      <c r="J450" s="394"/>
      <c r="K450" s="262"/>
      <c r="L450" s="262"/>
      <c r="M450" s="262"/>
      <c r="N450" s="262"/>
      <c r="O450" s="262"/>
      <c r="P450" s="262"/>
      <c r="Q450" s="262"/>
    </row>
    <row r="451" spans="8:17" s="263" customFormat="1" x14ac:dyDescent="0.2">
      <c r="H451" s="394"/>
      <c r="I451" s="394"/>
      <c r="J451" s="394"/>
      <c r="K451" s="262"/>
      <c r="L451" s="262"/>
      <c r="M451" s="262"/>
      <c r="N451" s="262"/>
      <c r="O451" s="262"/>
      <c r="P451" s="262"/>
      <c r="Q451" s="262"/>
    </row>
    <row r="452" spans="8:17" s="263" customFormat="1" x14ac:dyDescent="0.2">
      <c r="H452" s="394"/>
      <c r="I452" s="394"/>
      <c r="J452" s="394"/>
      <c r="K452" s="262"/>
      <c r="L452" s="262"/>
      <c r="M452" s="262"/>
      <c r="N452" s="262"/>
      <c r="O452" s="262"/>
      <c r="P452" s="262"/>
      <c r="Q452" s="262"/>
    </row>
    <row r="453" spans="8:17" s="263" customFormat="1" x14ac:dyDescent="0.2">
      <c r="H453" s="394"/>
      <c r="I453" s="394"/>
      <c r="J453" s="394"/>
      <c r="K453" s="262"/>
      <c r="L453" s="262"/>
      <c r="M453" s="262"/>
      <c r="N453" s="262"/>
      <c r="O453" s="262"/>
      <c r="P453" s="262"/>
      <c r="Q453" s="262"/>
    </row>
    <row r="454" spans="8:17" s="263" customFormat="1" x14ac:dyDescent="0.2">
      <c r="H454" s="394"/>
      <c r="I454" s="394"/>
      <c r="J454" s="394"/>
      <c r="K454" s="262"/>
      <c r="L454" s="262"/>
      <c r="M454" s="262"/>
      <c r="N454" s="262"/>
      <c r="O454" s="262"/>
      <c r="P454" s="262"/>
      <c r="Q454" s="262"/>
    </row>
    <row r="455" spans="8:17" s="263" customFormat="1" x14ac:dyDescent="0.2">
      <c r="H455" s="394"/>
      <c r="I455" s="394"/>
      <c r="J455" s="394"/>
      <c r="K455" s="262"/>
      <c r="L455" s="262"/>
      <c r="M455" s="262"/>
      <c r="N455" s="262"/>
      <c r="O455" s="262"/>
      <c r="P455" s="262"/>
      <c r="Q455" s="262"/>
    </row>
    <row r="456" spans="8:17" s="263" customFormat="1" x14ac:dyDescent="0.2">
      <c r="H456" s="394"/>
      <c r="I456" s="394"/>
      <c r="J456" s="394"/>
      <c r="K456" s="262"/>
      <c r="L456" s="262"/>
      <c r="M456" s="262"/>
      <c r="N456" s="262"/>
      <c r="O456" s="262"/>
      <c r="P456" s="262"/>
      <c r="Q456" s="262"/>
    </row>
    <row r="457" spans="8:17" s="263" customFormat="1" x14ac:dyDescent="0.2">
      <c r="H457" s="394"/>
      <c r="I457" s="394"/>
      <c r="J457" s="394"/>
      <c r="K457" s="262"/>
      <c r="L457" s="262"/>
      <c r="M457" s="262"/>
      <c r="N457" s="262"/>
      <c r="O457" s="262"/>
      <c r="P457" s="262"/>
      <c r="Q457" s="262"/>
    </row>
    <row r="458" spans="8:17" s="263" customFormat="1" x14ac:dyDescent="0.2">
      <c r="H458" s="394"/>
      <c r="I458" s="394"/>
      <c r="J458" s="394"/>
      <c r="K458" s="262"/>
      <c r="L458" s="262"/>
      <c r="M458" s="262"/>
      <c r="N458" s="262"/>
      <c r="O458" s="262"/>
      <c r="P458" s="262"/>
      <c r="Q458" s="262"/>
    </row>
    <row r="459" spans="8:17" s="263" customFormat="1" x14ac:dyDescent="0.2">
      <c r="H459" s="394"/>
      <c r="I459" s="394"/>
      <c r="J459" s="394"/>
      <c r="K459" s="262"/>
      <c r="L459" s="262"/>
      <c r="M459" s="262"/>
      <c r="N459" s="262"/>
      <c r="O459" s="262"/>
      <c r="P459" s="262"/>
      <c r="Q459" s="262"/>
    </row>
    <row r="460" spans="8:17" s="263" customFormat="1" x14ac:dyDescent="0.2">
      <c r="H460" s="394"/>
      <c r="I460" s="394"/>
      <c r="J460" s="394"/>
      <c r="K460" s="262"/>
      <c r="L460" s="262"/>
      <c r="M460" s="262"/>
      <c r="N460" s="262"/>
      <c r="O460" s="262"/>
      <c r="P460" s="262"/>
      <c r="Q460" s="262"/>
    </row>
    <row r="461" spans="8:17" s="263" customFormat="1" x14ac:dyDescent="0.2">
      <c r="H461" s="394"/>
      <c r="I461" s="394"/>
      <c r="J461" s="394"/>
      <c r="K461" s="262"/>
      <c r="L461" s="262"/>
      <c r="M461" s="262"/>
      <c r="N461" s="262"/>
      <c r="O461" s="262"/>
      <c r="P461" s="262"/>
      <c r="Q461" s="262"/>
    </row>
    <row r="462" spans="8:17" s="263" customFormat="1" x14ac:dyDescent="0.2">
      <c r="H462" s="394"/>
      <c r="I462" s="394"/>
      <c r="J462" s="394"/>
      <c r="K462" s="262"/>
      <c r="L462" s="262"/>
      <c r="M462" s="262"/>
      <c r="N462" s="262"/>
      <c r="O462" s="262"/>
      <c r="P462" s="262"/>
      <c r="Q462" s="262"/>
    </row>
    <row r="463" spans="8:17" s="263" customFormat="1" x14ac:dyDescent="0.2">
      <c r="H463" s="394"/>
      <c r="I463" s="394"/>
      <c r="J463" s="394"/>
      <c r="K463" s="262"/>
      <c r="L463" s="262"/>
      <c r="M463" s="262"/>
      <c r="N463" s="262"/>
      <c r="O463" s="262"/>
      <c r="P463" s="262"/>
      <c r="Q463" s="262"/>
    </row>
    <row r="464" spans="8:17" s="263" customFormat="1" x14ac:dyDescent="0.2">
      <c r="H464" s="394"/>
      <c r="I464" s="394"/>
      <c r="J464" s="394"/>
      <c r="K464" s="262"/>
      <c r="L464" s="262"/>
      <c r="M464" s="262"/>
      <c r="N464" s="262"/>
      <c r="O464" s="262"/>
      <c r="P464" s="262"/>
      <c r="Q464" s="262"/>
    </row>
    <row r="465" spans="8:17" s="263" customFormat="1" x14ac:dyDescent="0.2">
      <c r="H465" s="394"/>
      <c r="I465" s="394"/>
      <c r="J465" s="394"/>
      <c r="K465" s="262"/>
      <c r="L465" s="262"/>
      <c r="M465" s="262"/>
      <c r="N465" s="262"/>
      <c r="O465" s="262"/>
      <c r="P465" s="262"/>
      <c r="Q465" s="262"/>
    </row>
    <row r="466" spans="8:17" s="263" customFormat="1" x14ac:dyDescent="0.2">
      <c r="H466" s="394"/>
      <c r="I466" s="394"/>
      <c r="J466" s="394"/>
      <c r="K466" s="262"/>
      <c r="L466" s="262"/>
      <c r="M466" s="262"/>
      <c r="N466" s="262"/>
      <c r="O466" s="262"/>
      <c r="P466" s="262"/>
      <c r="Q466" s="262"/>
    </row>
    <row r="467" spans="8:17" s="263" customFormat="1" x14ac:dyDescent="0.2">
      <c r="H467" s="394"/>
      <c r="I467" s="394"/>
      <c r="J467" s="394"/>
      <c r="K467" s="262"/>
      <c r="L467" s="262"/>
      <c r="M467" s="262"/>
      <c r="N467" s="262"/>
      <c r="O467" s="262"/>
      <c r="P467" s="262"/>
      <c r="Q467" s="262"/>
    </row>
    <row r="468" spans="8:17" s="263" customFormat="1" x14ac:dyDescent="0.2">
      <c r="H468" s="394"/>
      <c r="I468" s="394"/>
      <c r="J468" s="394"/>
      <c r="K468" s="262"/>
      <c r="L468" s="262"/>
      <c r="M468" s="262"/>
      <c r="N468" s="262"/>
      <c r="O468" s="262"/>
      <c r="P468" s="262"/>
      <c r="Q468" s="262"/>
    </row>
    <row r="469" spans="8:17" s="263" customFormat="1" x14ac:dyDescent="0.2">
      <c r="H469" s="394"/>
      <c r="I469" s="394"/>
      <c r="J469" s="394"/>
      <c r="K469" s="262"/>
      <c r="L469" s="262"/>
      <c r="M469" s="262"/>
      <c r="N469" s="262"/>
      <c r="O469" s="262"/>
      <c r="P469" s="262"/>
      <c r="Q469" s="262"/>
    </row>
    <row r="470" spans="8:17" s="263" customFormat="1" x14ac:dyDescent="0.2">
      <c r="H470" s="394"/>
      <c r="I470" s="394"/>
      <c r="J470" s="394"/>
      <c r="K470" s="262"/>
      <c r="L470" s="262"/>
      <c r="M470" s="262"/>
      <c r="N470" s="262"/>
      <c r="O470" s="262"/>
      <c r="P470" s="262"/>
      <c r="Q470" s="262"/>
    </row>
    <row r="471" spans="8:17" s="263" customFormat="1" x14ac:dyDescent="0.2">
      <c r="H471" s="394"/>
      <c r="I471" s="394"/>
      <c r="J471" s="394"/>
      <c r="K471" s="262"/>
      <c r="L471" s="262"/>
      <c r="M471" s="262"/>
      <c r="N471" s="262"/>
      <c r="O471" s="262"/>
      <c r="P471" s="262"/>
      <c r="Q471" s="262"/>
    </row>
    <row r="472" spans="8:17" s="263" customFormat="1" x14ac:dyDescent="0.2">
      <c r="H472" s="394"/>
      <c r="I472" s="394"/>
      <c r="J472" s="394"/>
      <c r="K472" s="262"/>
      <c r="L472" s="262"/>
      <c r="M472" s="262"/>
      <c r="N472" s="262"/>
      <c r="O472" s="262"/>
      <c r="P472" s="262"/>
      <c r="Q472" s="262"/>
    </row>
    <row r="473" spans="8:17" s="263" customFormat="1" x14ac:dyDescent="0.2">
      <c r="H473" s="394"/>
      <c r="I473" s="394"/>
      <c r="J473" s="394"/>
      <c r="K473" s="262"/>
      <c r="L473" s="262"/>
      <c r="M473" s="262"/>
      <c r="N473" s="262"/>
      <c r="O473" s="262"/>
      <c r="P473" s="262"/>
      <c r="Q473" s="262"/>
    </row>
    <row r="474" spans="8:17" s="263" customFormat="1" x14ac:dyDescent="0.2">
      <c r="H474" s="394"/>
      <c r="I474" s="394"/>
      <c r="J474" s="394"/>
      <c r="K474" s="262"/>
      <c r="L474" s="262"/>
      <c r="M474" s="262"/>
      <c r="N474" s="262"/>
      <c r="O474" s="262"/>
      <c r="P474" s="262"/>
      <c r="Q474" s="262"/>
    </row>
    <row r="475" spans="8:17" s="263" customFormat="1" x14ac:dyDescent="0.2">
      <c r="H475" s="394"/>
      <c r="I475" s="394"/>
      <c r="J475" s="394"/>
      <c r="K475" s="262"/>
      <c r="L475" s="262"/>
      <c r="M475" s="262"/>
      <c r="N475" s="262"/>
      <c r="O475" s="262"/>
      <c r="P475" s="262"/>
      <c r="Q475" s="262"/>
    </row>
    <row r="476" spans="8:17" s="263" customFormat="1" x14ac:dyDescent="0.2">
      <c r="H476" s="394"/>
      <c r="I476" s="394"/>
      <c r="J476" s="394"/>
      <c r="K476" s="262"/>
      <c r="L476" s="262"/>
      <c r="M476" s="262"/>
      <c r="N476" s="262"/>
      <c r="O476" s="262"/>
      <c r="P476" s="262"/>
      <c r="Q476" s="262"/>
    </row>
    <row r="477" spans="8:17" s="263" customFormat="1" x14ac:dyDescent="0.2">
      <c r="H477" s="394"/>
      <c r="I477" s="394"/>
      <c r="J477" s="394"/>
      <c r="K477" s="262"/>
      <c r="L477" s="262"/>
      <c r="M477" s="262"/>
      <c r="N477" s="262"/>
      <c r="O477" s="262"/>
      <c r="P477" s="262"/>
      <c r="Q477" s="262"/>
    </row>
    <row r="478" spans="8:17" s="263" customFormat="1" x14ac:dyDescent="0.2">
      <c r="H478" s="394"/>
      <c r="I478" s="394"/>
      <c r="J478" s="394"/>
      <c r="K478" s="262"/>
      <c r="L478" s="262"/>
      <c r="M478" s="262"/>
      <c r="N478" s="262"/>
      <c r="O478" s="262"/>
      <c r="P478" s="262"/>
      <c r="Q478" s="262"/>
    </row>
    <row r="479" spans="8:17" s="263" customFormat="1" x14ac:dyDescent="0.2">
      <c r="H479" s="394"/>
      <c r="I479" s="394"/>
      <c r="J479" s="394"/>
      <c r="K479" s="262"/>
      <c r="L479" s="262"/>
      <c r="M479" s="262"/>
      <c r="N479" s="262"/>
      <c r="O479" s="262"/>
      <c r="P479" s="262"/>
      <c r="Q479" s="262"/>
    </row>
    <row r="480" spans="8:17" s="263" customFormat="1" x14ac:dyDescent="0.2">
      <c r="H480" s="394"/>
      <c r="I480" s="394"/>
      <c r="J480" s="394"/>
      <c r="K480" s="262"/>
      <c r="L480" s="262"/>
      <c r="M480" s="262"/>
      <c r="N480" s="262"/>
      <c r="O480" s="262"/>
      <c r="P480" s="262"/>
      <c r="Q480" s="262"/>
    </row>
    <row r="481" spans="8:17" s="263" customFormat="1" x14ac:dyDescent="0.2">
      <c r="H481" s="394"/>
      <c r="I481" s="394"/>
      <c r="J481" s="394"/>
      <c r="K481" s="262"/>
      <c r="L481" s="262"/>
      <c r="M481" s="262"/>
      <c r="N481" s="262"/>
      <c r="O481" s="262"/>
      <c r="P481" s="262"/>
      <c r="Q481" s="262"/>
    </row>
    <row r="482" spans="8:17" s="263" customFormat="1" x14ac:dyDescent="0.2">
      <c r="H482" s="394"/>
      <c r="I482" s="394"/>
      <c r="J482" s="394"/>
      <c r="K482" s="262"/>
      <c r="L482" s="262"/>
      <c r="M482" s="262"/>
      <c r="N482" s="262"/>
      <c r="O482" s="262"/>
      <c r="P482" s="262"/>
      <c r="Q482" s="262"/>
    </row>
    <row r="483" spans="8:17" s="263" customFormat="1" x14ac:dyDescent="0.2">
      <c r="H483" s="394"/>
      <c r="I483" s="394"/>
      <c r="J483" s="394"/>
      <c r="K483" s="262"/>
      <c r="L483" s="262"/>
      <c r="M483" s="262"/>
      <c r="N483" s="262"/>
      <c r="O483" s="262"/>
      <c r="P483" s="262"/>
      <c r="Q483" s="262"/>
    </row>
    <row r="484" spans="8:17" s="263" customFormat="1" x14ac:dyDescent="0.2">
      <c r="H484" s="394"/>
      <c r="I484" s="394"/>
      <c r="J484" s="394"/>
      <c r="K484" s="262"/>
      <c r="L484" s="262"/>
      <c r="M484" s="262"/>
      <c r="N484" s="262"/>
      <c r="O484" s="262"/>
      <c r="P484" s="262"/>
      <c r="Q484" s="262"/>
    </row>
    <row r="485" spans="8:17" s="263" customFormat="1" x14ac:dyDescent="0.2">
      <c r="H485" s="394"/>
      <c r="I485" s="394"/>
      <c r="J485" s="394"/>
      <c r="K485" s="262"/>
      <c r="L485" s="262"/>
      <c r="M485" s="262"/>
      <c r="N485" s="262"/>
      <c r="O485" s="262"/>
      <c r="P485" s="262"/>
      <c r="Q485" s="262"/>
    </row>
    <row r="486" spans="8:17" s="263" customFormat="1" x14ac:dyDescent="0.2">
      <c r="H486" s="394"/>
      <c r="I486" s="394"/>
      <c r="J486" s="394"/>
      <c r="K486" s="262"/>
      <c r="L486" s="262"/>
      <c r="M486" s="262"/>
      <c r="N486" s="262"/>
      <c r="O486" s="262"/>
      <c r="P486" s="262"/>
      <c r="Q486" s="262"/>
    </row>
    <row r="487" spans="8:17" s="263" customFormat="1" x14ac:dyDescent="0.2">
      <c r="H487" s="394"/>
      <c r="I487" s="394"/>
      <c r="J487" s="394"/>
      <c r="K487" s="262"/>
      <c r="L487" s="262"/>
      <c r="M487" s="262"/>
      <c r="N487" s="262"/>
      <c r="O487" s="262"/>
      <c r="P487" s="262"/>
      <c r="Q487" s="262"/>
    </row>
    <row r="488" spans="8:17" s="263" customFormat="1" x14ac:dyDescent="0.2">
      <c r="H488" s="394"/>
      <c r="I488" s="394"/>
      <c r="J488" s="394"/>
      <c r="K488" s="262"/>
      <c r="L488" s="262"/>
      <c r="M488" s="262"/>
      <c r="N488" s="262"/>
      <c r="O488" s="262"/>
      <c r="P488" s="262"/>
      <c r="Q488" s="262"/>
    </row>
    <row r="489" spans="8:17" s="263" customFormat="1" x14ac:dyDescent="0.2">
      <c r="H489" s="394"/>
      <c r="I489" s="394"/>
      <c r="J489" s="394"/>
      <c r="K489" s="262"/>
      <c r="L489" s="262"/>
      <c r="M489" s="262"/>
      <c r="N489" s="262"/>
      <c r="O489" s="262"/>
      <c r="P489" s="262"/>
      <c r="Q489" s="262"/>
    </row>
    <row r="490" spans="8:17" s="263" customFormat="1" x14ac:dyDescent="0.2">
      <c r="H490" s="394"/>
      <c r="I490" s="394"/>
      <c r="J490" s="394"/>
      <c r="K490" s="262"/>
      <c r="L490" s="262"/>
      <c r="M490" s="262"/>
      <c r="N490" s="262"/>
      <c r="O490" s="262"/>
      <c r="P490" s="262"/>
      <c r="Q490" s="262"/>
    </row>
    <row r="491" spans="8:17" s="263" customFormat="1" x14ac:dyDescent="0.2">
      <c r="H491" s="394"/>
      <c r="I491" s="394"/>
      <c r="J491" s="394"/>
      <c r="K491" s="262"/>
      <c r="L491" s="262"/>
      <c r="M491" s="262"/>
      <c r="N491" s="262"/>
      <c r="O491" s="262"/>
      <c r="P491" s="262"/>
      <c r="Q491" s="262"/>
    </row>
    <row r="492" spans="8:17" s="263" customFormat="1" x14ac:dyDescent="0.2">
      <c r="H492" s="394"/>
      <c r="I492" s="394"/>
      <c r="J492" s="394"/>
      <c r="K492" s="262"/>
      <c r="L492" s="262"/>
      <c r="M492" s="262"/>
      <c r="N492" s="262"/>
      <c r="O492" s="262"/>
      <c r="P492" s="262"/>
      <c r="Q492" s="262"/>
    </row>
    <row r="493" spans="8:17" s="263" customFormat="1" x14ac:dyDescent="0.2">
      <c r="H493" s="394"/>
      <c r="I493" s="394"/>
      <c r="J493" s="394"/>
      <c r="K493" s="262"/>
      <c r="L493" s="262"/>
      <c r="M493" s="262"/>
      <c r="N493" s="262"/>
      <c r="O493" s="262"/>
      <c r="P493" s="262"/>
      <c r="Q493" s="262"/>
    </row>
    <row r="494" spans="8:17" s="263" customFormat="1" x14ac:dyDescent="0.2">
      <c r="H494" s="394"/>
      <c r="I494" s="394"/>
      <c r="J494" s="394"/>
      <c r="K494" s="262"/>
      <c r="L494" s="262"/>
      <c r="M494" s="262"/>
      <c r="N494" s="262"/>
      <c r="O494" s="262"/>
      <c r="P494" s="262"/>
      <c r="Q494" s="262"/>
    </row>
    <row r="495" spans="8:17" s="263" customFormat="1" x14ac:dyDescent="0.2">
      <c r="H495" s="394"/>
      <c r="I495" s="394"/>
      <c r="J495" s="394"/>
      <c r="K495" s="262"/>
      <c r="L495" s="262"/>
      <c r="M495" s="262"/>
      <c r="N495" s="262"/>
      <c r="O495" s="262"/>
      <c r="P495" s="262"/>
      <c r="Q495" s="262"/>
    </row>
    <row r="496" spans="8:17" s="263" customFormat="1" x14ac:dyDescent="0.2">
      <c r="H496" s="394"/>
      <c r="I496" s="394"/>
      <c r="J496" s="394"/>
      <c r="K496" s="262"/>
      <c r="L496" s="262"/>
      <c r="M496" s="262"/>
      <c r="N496" s="262"/>
      <c r="O496" s="262"/>
      <c r="P496" s="262"/>
      <c r="Q496" s="262"/>
    </row>
    <row r="497" spans="8:17" s="263" customFormat="1" x14ac:dyDescent="0.2">
      <c r="H497" s="394"/>
      <c r="I497" s="394"/>
      <c r="J497" s="394"/>
      <c r="K497" s="262"/>
      <c r="L497" s="262"/>
      <c r="M497" s="262"/>
      <c r="N497" s="262"/>
      <c r="O497" s="262"/>
      <c r="P497" s="262"/>
      <c r="Q497" s="262"/>
    </row>
    <row r="498" spans="8:17" s="263" customFormat="1" x14ac:dyDescent="0.2">
      <c r="H498" s="394"/>
      <c r="I498" s="394"/>
      <c r="J498" s="394"/>
      <c r="K498" s="262"/>
      <c r="L498" s="262"/>
      <c r="M498" s="262"/>
      <c r="N498" s="262"/>
      <c r="O498" s="262"/>
      <c r="P498" s="262"/>
      <c r="Q498" s="262"/>
    </row>
    <row r="499" spans="8:17" s="263" customFormat="1" x14ac:dyDescent="0.2">
      <c r="H499" s="394"/>
      <c r="I499" s="394"/>
      <c r="J499" s="394"/>
      <c r="K499" s="262"/>
      <c r="L499" s="262"/>
      <c r="M499" s="262"/>
      <c r="N499" s="262"/>
      <c r="O499" s="262"/>
      <c r="P499" s="262"/>
      <c r="Q499" s="262"/>
    </row>
    <row r="500" spans="8:17" s="263" customFormat="1" x14ac:dyDescent="0.2">
      <c r="H500" s="394"/>
      <c r="I500" s="394"/>
      <c r="J500" s="394"/>
      <c r="K500" s="262"/>
      <c r="L500" s="262"/>
      <c r="M500" s="262"/>
      <c r="N500" s="262"/>
      <c r="O500" s="262"/>
      <c r="P500" s="262"/>
      <c r="Q500" s="262"/>
    </row>
    <row r="501" spans="8:17" s="263" customFormat="1" x14ac:dyDescent="0.2">
      <c r="H501" s="394"/>
      <c r="I501" s="394"/>
      <c r="J501" s="394"/>
      <c r="K501" s="262"/>
      <c r="L501" s="262"/>
      <c r="M501" s="262"/>
      <c r="N501" s="262"/>
      <c r="O501" s="262"/>
      <c r="P501" s="262"/>
      <c r="Q501" s="262"/>
    </row>
    <row r="502" spans="8:17" s="263" customFormat="1" x14ac:dyDescent="0.2">
      <c r="H502" s="394"/>
      <c r="I502" s="394"/>
      <c r="J502" s="394"/>
      <c r="K502" s="262"/>
      <c r="L502" s="262"/>
      <c r="M502" s="262"/>
      <c r="N502" s="262"/>
      <c r="O502" s="262"/>
      <c r="P502" s="262"/>
      <c r="Q502" s="262"/>
    </row>
    <row r="503" spans="8:17" s="263" customFormat="1" x14ac:dyDescent="0.2">
      <c r="H503" s="394"/>
      <c r="I503" s="394"/>
      <c r="J503" s="394"/>
      <c r="K503" s="262"/>
      <c r="L503" s="262"/>
      <c r="M503" s="262"/>
      <c r="N503" s="262"/>
      <c r="O503" s="262"/>
      <c r="P503" s="262"/>
      <c r="Q503" s="262"/>
    </row>
    <row r="504" spans="8:17" s="263" customFormat="1" x14ac:dyDescent="0.2">
      <c r="H504" s="394"/>
      <c r="I504" s="394"/>
      <c r="J504" s="394"/>
      <c r="K504" s="262"/>
      <c r="L504" s="262"/>
      <c r="M504" s="262"/>
      <c r="N504" s="262"/>
      <c r="O504" s="262"/>
      <c r="P504" s="262"/>
      <c r="Q504" s="262"/>
    </row>
    <row r="505" spans="8:17" s="263" customFormat="1" x14ac:dyDescent="0.2">
      <c r="H505" s="394"/>
      <c r="I505" s="394"/>
      <c r="J505" s="394"/>
      <c r="K505" s="262"/>
      <c r="L505" s="262"/>
      <c r="M505" s="262"/>
      <c r="N505" s="262"/>
      <c r="O505" s="262"/>
      <c r="P505" s="262"/>
      <c r="Q505" s="262"/>
    </row>
    <row r="506" spans="8:17" s="263" customFormat="1" x14ac:dyDescent="0.2">
      <c r="H506" s="394"/>
      <c r="I506" s="394"/>
      <c r="J506" s="394"/>
      <c r="K506" s="262"/>
      <c r="L506" s="262"/>
      <c r="M506" s="262"/>
      <c r="N506" s="262"/>
      <c r="O506" s="262"/>
      <c r="P506" s="262"/>
      <c r="Q506" s="262"/>
    </row>
    <row r="507" spans="8:17" s="263" customFormat="1" x14ac:dyDescent="0.2">
      <c r="H507" s="394"/>
      <c r="I507" s="394"/>
      <c r="J507" s="394"/>
      <c r="K507" s="262"/>
      <c r="L507" s="262"/>
      <c r="M507" s="262"/>
      <c r="N507" s="262"/>
      <c r="O507" s="262"/>
      <c r="P507" s="262"/>
      <c r="Q507" s="262"/>
    </row>
    <row r="508" spans="8:17" s="263" customFormat="1" x14ac:dyDescent="0.2">
      <c r="H508" s="394"/>
      <c r="I508" s="394"/>
      <c r="J508" s="394"/>
      <c r="K508" s="262"/>
      <c r="L508" s="262"/>
      <c r="M508" s="262"/>
      <c r="N508" s="262"/>
      <c r="O508" s="262"/>
      <c r="P508" s="262"/>
      <c r="Q508" s="262"/>
    </row>
    <row r="509" spans="8:17" s="263" customFormat="1" x14ac:dyDescent="0.2">
      <c r="H509" s="394"/>
      <c r="I509" s="394"/>
      <c r="J509" s="394"/>
      <c r="K509" s="262"/>
      <c r="L509" s="262"/>
      <c r="M509" s="262"/>
      <c r="N509" s="262"/>
      <c r="O509" s="262"/>
      <c r="P509" s="262"/>
      <c r="Q509" s="262"/>
    </row>
    <row r="510" spans="8:17" s="263" customFormat="1" x14ac:dyDescent="0.2">
      <c r="H510" s="394"/>
      <c r="I510" s="394"/>
      <c r="J510" s="394"/>
      <c r="K510" s="262"/>
      <c r="L510" s="262"/>
      <c r="M510" s="262"/>
      <c r="N510" s="262"/>
      <c r="O510" s="262"/>
      <c r="P510" s="262"/>
      <c r="Q510" s="262"/>
    </row>
    <row r="511" spans="8:17" s="263" customFormat="1" x14ac:dyDescent="0.2">
      <c r="H511" s="394"/>
      <c r="I511" s="394"/>
      <c r="J511" s="394"/>
      <c r="K511" s="262"/>
      <c r="L511" s="262"/>
      <c r="M511" s="262"/>
      <c r="N511" s="262"/>
      <c r="O511" s="262"/>
      <c r="P511" s="262"/>
      <c r="Q511" s="262"/>
    </row>
    <row r="512" spans="8:17" s="263" customFormat="1" x14ac:dyDescent="0.2">
      <c r="H512" s="394"/>
      <c r="I512" s="394"/>
      <c r="J512" s="394"/>
      <c r="K512" s="262"/>
      <c r="L512" s="262"/>
      <c r="M512" s="262"/>
      <c r="N512" s="262"/>
      <c r="O512" s="262"/>
      <c r="P512" s="262"/>
      <c r="Q512" s="262"/>
    </row>
    <row r="513" spans="8:17" s="263" customFormat="1" x14ac:dyDescent="0.2">
      <c r="H513" s="394"/>
      <c r="I513" s="394"/>
      <c r="J513" s="394"/>
      <c r="K513" s="262"/>
      <c r="L513" s="262"/>
      <c r="M513" s="262"/>
      <c r="N513" s="262"/>
      <c r="O513" s="262"/>
      <c r="P513" s="262"/>
      <c r="Q513" s="262"/>
    </row>
    <row r="514" spans="8:17" s="263" customFormat="1" x14ac:dyDescent="0.2">
      <c r="H514" s="394"/>
      <c r="I514" s="394"/>
      <c r="J514" s="394"/>
      <c r="K514" s="262"/>
      <c r="L514" s="262"/>
      <c r="M514" s="262"/>
      <c r="N514" s="262"/>
      <c r="O514" s="262"/>
      <c r="P514" s="262"/>
      <c r="Q514" s="262"/>
    </row>
    <row r="515" spans="8:17" s="263" customFormat="1" x14ac:dyDescent="0.2">
      <c r="H515" s="394"/>
      <c r="I515" s="394"/>
      <c r="J515" s="394"/>
      <c r="K515" s="262"/>
      <c r="L515" s="262"/>
      <c r="M515" s="262"/>
      <c r="N515" s="262"/>
      <c r="O515" s="262"/>
      <c r="P515" s="262"/>
      <c r="Q515" s="262"/>
    </row>
    <row r="516" spans="8:17" s="263" customFormat="1" x14ac:dyDescent="0.2">
      <c r="H516" s="394"/>
      <c r="I516" s="394"/>
      <c r="J516" s="394"/>
      <c r="K516" s="262"/>
      <c r="L516" s="262"/>
      <c r="M516" s="262"/>
      <c r="N516" s="262"/>
      <c r="O516" s="262"/>
      <c r="P516" s="262"/>
      <c r="Q516" s="262"/>
    </row>
    <row r="517" spans="8:17" s="263" customFormat="1" x14ac:dyDescent="0.2">
      <c r="H517" s="394"/>
      <c r="I517" s="394"/>
      <c r="J517" s="394"/>
      <c r="K517" s="262"/>
      <c r="L517" s="262"/>
      <c r="M517" s="262"/>
      <c r="N517" s="262"/>
      <c r="O517" s="262"/>
      <c r="P517" s="262"/>
      <c r="Q517" s="262"/>
    </row>
    <row r="518" spans="8:17" s="263" customFormat="1" x14ac:dyDescent="0.2">
      <c r="H518" s="394"/>
      <c r="I518" s="394"/>
      <c r="J518" s="394"/>
      <c r="K518" s="262"/>
      <c r="L518" s="262"/>
      <c r="M518" s="262"/>
      <c r="N518" s="262"/>
      <c r="O518" s="262"/>
      <c r="P518" s="262"/>
      <c r="Q518" s="262"/>
    </row>
    <row r="519" spans="8:17" s="263" customFormat="1" x14ac:dyDescent="0.2">
      <c r="H519" s="394"/>
      <c r="I519" s="394"/>
      <c r="J519" s="394"/>
      <c r="K519" s="262"/>
      <c r="L519" s="262"/>
      <c r="M519" s="262"/>
      <c r="N519" s="262"/>
      <c r="O519" s="262"/>
      <c r="P519" s="262"/>
      <c r="Q519" s="262"/>
    </row>
    <row r="520" spans="8:17" s="263" customFormat="1" x14ac:dyDescent="0.2">
      <c r="H520" s="394"/>
      <c r="I520" s="394"/>
      <c r="J520" s="394"/>
      <c r="K520" s="262"/>
      <c r="L520" s="262"/>
      <c r="M520" s="262"/>
      <c r="N520" s="262"/>
      <c r="O520" s="262"/>
      <c r="P520" s="262"/>
      <c r="Q520" s="262"/>
    </row>
    <row r="521" spans="8:17" s="263" customFormat="1" x14ac:dyDescent="0.2">
      <c r="H521" s="394"/>
      <c r="I521" s="394"/>
      <c r="J521" s="394"/>
      <c r="K521" s="262"/>
      <c r="L521" s="262"/>
      <c r="M521" s="262"/>
      <c r="N521" s="262"/>
      <c r="O521" s="262"/>
      <c r="P521" s="262"/>
      <c r="Q521" s="262"/>
    </row>
    <row r="522" spans="8:17" s="263" customFormat="1" x14ac:dyDescent="0.2">
      <c r="H522" s="394"/>
      <c r="I522" s="394"/>
      <c r="J522" s="394"/>
      <c r="K522" s="262"/>
      <c r="L522" s="262"/>
      <c r="M522" s="262"/>
      <c r="N522" s="262"/>
      <c r="O522" s="262"/>
      <c r="P522" s="262"/>
      <c r="Q522" s="262"/>
    </row>
    <row r="523" spans="8:17" s="263" customFormat="1" x14ac:dyDescent="0.2">
      <c r="H523" s="394"/>
      <c r="I523" s="394"/>
      <c r="J523" s="394"/>
      <c r="K523" s="262"/>
      <c r="L523" s="262"/>
      <c r="M523" s="262"/>
      <c r="N523" s="262"/>
      <c r="O523" s="262"/>
      <c r="P523" s="262"/>
      <c r="Q523" s="262"/>
    </row>
    <row r="524" spans="8:17" s="263" customFormat="1" x14ac:dyDescent="0.2">
      <c r="H524" s="394"/>
      <c r="I524" s="394"/>
      <c r="J524" s="394"/>
      <c r="K524" s="262"/>
      <c r="L524" s="262"/>
      <c r="M524" s="262"/>
      <c r="N524" s="262"/>
      <c r="O524" s="262"/>
      <c r="P524" s="262"/>
      <c r="Q524" s="262"/>
    </row>
    <row r="525" spans="8:17" s="263" customFormat="1" x14ac:dyDescent="0.2">
      <c r="H525" s="394"/>
      <c r="I525" s="394"/>
      <c r="J525" s="394"/>
      <c r="K525" s="262"/>
      <c r="L525" s="262"/>
      <c r="M525" s="262"/>
      <c r="N525" s="262"/>
      <c r="O525" s="262"/>
      <c r="P525" s="262"/>
      <c r="Q525" s="262"/>
    </row>
    <row r="526" spans="8:17" s="263" customFormat="1" x14ac:dyDescent="0.2">
      <c r="H526" s="394"/>
      <c r="I526" s="394"/>
      <c r="J526" s="394"/>
      <c r="K526" s="262"/>
      <c r="L526" s="262"/>
      <c r="M526" s="262"/>
      <c r="N526" s="262"/>
      <c r="O526" s="262"/>
      <c r="P526" s="262"/>
      <c r="Q526" s="262"/>
    </row>
    <row r="527" spans="8:17" s="263" customFormat="1" x14ac:dyDescent="0.2">
      <c r="H527" s="394"/>
      <c r="I527" s="394"/>
      <c r="J527" s="394"/>
      <c r="K527" s="262"/>
      <c r="L527" s="262"/>
      <c r="M527" s="262"/>
      <c r="N527" s="262"/>
      <c r="O527" s="262"/>
      <c r="P527" s="262"/>
      <c r="Q527" s="262"/>
    </row>
    <row r="528" spans="8:17" s="263" customFormat="1" x14ac:dyDescent="0.2">
      <c r="H528" s="394"/>
      <c r="I528" s="394"/>
      <c r="J528" s="394"/>
      <c r="K528" s="262"/>
      <c r="L528" s="262"/>
      <c r="M528" s="262"/>
      <c r="N528" s="262"/>
      <c r="O528" s="262"/>
      <c r="P528" s="262"/>
      <c r="Q528" s="262"/>
    </row>
    <row r="529" spans="8:17" s="263" customFormat="1" x14ac:dyDescent="0.2">
      <c r="H529" s="394"/>
      <c r="I529" s="394"/>
      <c r="J529" s="394"/>
      <c r="K529" s="262"/>
      <c r="L529" s="262"/>
      <c r="M529" s="262"/>
      <c r="N529" s="262"/>
      <c r="O529" s="262"/>
      <c r="P529" s="262"/>
      <c r="Q529" s="262"/>
    </row>
    <row r="530" spans="8:17" s="263" customFormat="1" x14ac:dyDescent="0.2">
      <c r="H530" s="394"/>
      <c r="I530" s="394"/>
      <c r="J530" s="394"/>
      <c r="K530" s="262"/>
      <c r="L530" s="262"/>
      <c r="M530" s="262"/>
      <c r="N530" s="262"/>
      <c r="O530" s="262"/>
      <c r="P530" s="262"/>
      <c r="Q530" s="262"/>
    </row>
    <row r="531" spans="8:17" s="263" customFormat="1" x14ac:dyDescent="0.2">
      <c r="H531" s="394"/>
      <c r="I531" s="394"/>
      <c r="J531" s="394"/>
      <c r="K531" s="262"/>
      <c r="L531" s="262"/>
      <c r="M531" s="262"/>
      <c r="N531" s="262"/>
      <c r="O531" s="262"/>
      <c r="P531" s="262"/>
      <c r="Q531" s="262"/>
    </row>
    <row r="532" spans="8:17" s="263" customFormat="1" x14ac:dyDescent="0.2">
      <c r="H532" s="394"/>
      <c r="I532" s="394"/>
      <c r="J532" s="394"/>
      <c r="K532" s="262"/>
      <c r="L532" s="262"/>
      <c r="M532" s="262"/>
      <c r="N532" s="262"/>
      <c r="O532" s="262"/>
      <c r="P532" s="262"/>
      <c r="Q532" s="262"/>
    </row>
    <row r="533" spans="8:17" s="263" customFormat="1" x14ac:dyDescent="0.2">
      <c r="H533" s="394"/>
      <c r="I533" s="394"/>
      <c r="J533" s="394"/>
      <c r="K533" s="262"/>
      <c r="L533" s="262"/>
      <c r="M533" s="262"/>
      <c r="N533" s="262"/>
      <c r="O533" s="262"/>
      <c r="P533" s="262"/>
      <c r="Q533" s="262"/>
    </row>
    <row r="534" spans="8:17" s="263" customFormat="1" x14ac:dyDescent="0.2">
      <c r="H534" s="394"/>
      <c r="I534" s="394"/>
      <c r="J534" s="394"/>
      <c r="K534" s="262"/>
      <c r="L534" s="262"/>
      <c r="M534" s="262"/>
      <c r="N534" s="262"/>
      <c r="O534" s="262"/>
      <c r="P534" s="262"/>
      <c r="Q534" s="262"/>
    </row>
    <row r="535" spans="8:17" s="263" customFormat="1" x14ac:dyDescent="0.2">
      <c r="H535" s="394"/>
      <c r="I535" s="394"/>
      <c r="J535" s="394"/>
      <c r="K535" s="262"/>
      <c r="L535" s="262"/>
      <c r="M535" s="262"/>
      <c r="N535" s="262"/>
      <c r="O535" s="262"/>
      <c r="P535" s="262"/>
      <c r="Q535" s="262"/>
    </row>
    <row r="536" spans="8:17" s="263" customFormat="1" x14ac:dyDescent="0.2">
      <c r="H536" s="394"/>
      <c r="I536" s="394"/>
      <c r="J536" s="394"/>
      <c r="K536" s="262"/>
      <c r="L536" s="262"/>
      <c r="M536" s="262"/>
      <c r="N536" s="262"/>
      <c r="O536" s="262"/>
      <c r="P536" s="262"/>
      <c r="Q536" s="262"/>
    </row>
    <row r="537" spans="8:17" s="263" customFormat="1" x14ac:dyDescent="0.2">
      <c r="H537" s="394"/>
      <c r="I537" s="394"/>
      <c r="J537" s="394"/>
      <c r="K537" s="262"/>
      <c r="L537" s="262"/>
      <c r="M537" s="262"/>
      <c r="N537" s="262"/>
      <c r="O537" s="262"/>
      <c r="P537" s="262"/>
      <c r="Q537" s="262"/>
    </row>
    <row r="538" spans="8:17" s="263" customFormat="1" x14ac:dyDescent="0.2">
      <c r="H538" s="394"/>
      <c r="I538" s="394"/>
      <c r="J538" s="394"/>
      <c r="K538" s="262"/>
      <c r="L538" s="262"/>
      <c r="M538" s="262"/>
      <c r="N538" s="262"/>
      <c r="O538" s="262"/>
      <c r="P538" s="262"/>
      <c r="Q538" s="262"/>
    </row>
    <row r="539" spans="8:17" s="263" customFormat="1" x14ac:dyDescent="0.2">
      <c r="H539" s="394"/>
      <c r="I539" s="394"/>
      <c r="J539" s="394"/>
      <c r="K539" s="262"/>
      <c r="L539" s="262"/>
      <c r="M539" s="262"/>
      <c r="N539" s="262"/>
      <c r="O539" s="262"/>
      <c r="P539" s="262"/>
      <c r="Q539" s="262"/>
    </row>
    <row r="540" spans="8:17" s="263" customFormat="1" x14ac:dyDescent="0.2">
      <c r="H540" s="394"/>
      <c r="I540" s="394"/>
      <c r="J540" s="394"/>
      <c r="K540" s="262"/>
      <c r="L540" s="262"/>
      <c r="M540" s="262"/>
      <c r="N540" s="262"/>
      <c r="O540" s="262"/>
      <c r="P540" s="262"/>
      <c r="Q540" s="262"/>
    </row>
    <row r="541" spans="8:17" s="263" customFormat="1" x14ac:dyDescent="0.2">
      <c r="H541" s="394"/>
      <c r="I541" s="394"/>
      <c r="J541" s="394"/>
      <c r="K541" s="262"/>
      <c r="L541" s="262"/>
      <c r="M541" s="262"/>
      <c r="N541" s="262"/>
      <c r="O541" s="262"/>
      <c r="P541" s="262"/>
      <c r="Q541" s="262"/>
    </row>
    <row r="542" spans="8:17" s="263" customFormat="1" x14ac:dyDescent="0.2">
      <c r="H542" s="394"/>
      <c r="I542" s="394"/>
      <c r="J542" s="394"/>
      <c r="K542" s="262"/>
      <c r="L542" s="262"/>
      <c r="M542" s="262"/>
      <c r="N542" s="262"/>
      <c r="O542" s="262"/>
      <c r="P542" s="262"/>
      <c r="Q542" s="262"/>
    </row>
    <row r="543" spans="8:17" s="263" customFormat="1" x14ac:dyDescent="0.2">
      <c r="H543" s="394"/>
      <c r="I543" s="394"/>
      <c r="J543" s="394"/>
      <c r="K543" s="262"/>
      <c r="L543" s="262"/>
      <c r="M543" s="262"/>
      <c r="N543" s="262"/>
      <c r="O543" s="262"/>
      <c r="P543" s="262"/>
      <c r="Q543" s="262"/>
    </row>
    <row r="544" spans="8:17" s="263" customFormat="1" x14ac:dyDescent="0.2">
      <c r="H544" s="394"/>
      <c r="I544" s="394"/>
      <c r="J544" s="394"/>
      <c r="K544" s="262"/>
      <c r="L544" s="262"/>
      <c r="M544" s="262"/>
      <c r="N544" s="262"/>
      <c r="O544" s="262"/>
      <c r="P544" s="262"/>
      <c r="Q544" s="262"/>
    </row>
    <row r="545" spans="8:17" s="263" customFormat="1" x14ac:dyDescent="0.2">
      <c r="H545" s="394"/>
      <c r="I545" s="394"/>
      <c r="J545" s="394"/>
      <c r="K545" s="262"/>
      <c r="L545" s="262"/>
      <c r="M545" s="262"/>
      <c r="N545" s="262"/>
      <c r="O545" s="262"/>
      <c r="P545" s="262"/>
      <c r="Q545" s="262"/>
    </row>
    <row r="546" spans="8:17" s="263" customFormat="1" x14ac:dyDescent="0.2">
      <c r="H546" s="394"/>
      <c r="I546" s="394"/>
      <c r="J546" s="394"/>
      <c r="K546" s="262"/>
      <c r="L546" s="262"/>
      <c r="M546" s="262"/>
      <c r="N546" s="262"/>
      <c r="O546" s="262"/>
      <c r="P546" s="262"/>
      <c r="Q546" s="262"/>
    </row>
    <row r="547" spans="8:17" s="263" customFormat="1" x14ac:dyDescent="0.2">
      <c r="H547" s="394"/>
      <c r="I547" s="394"/>
      <c r="J547" s="394"/>
      <c r="K547" s="262"/>
      <c r="L547" s="262"/>
      <c r="M547" s="262"/>
      <c r="N547" s="262"/>
      <c r="O547" s="262"/>
      <c r="P547" s="262"/>
      <c r="Q547" s="262"/>
    </row>
    <row r="548" spans="8:17" s="263" customFormat="1" x14ac:dyDescent="0.2">
      <c r="H548" s="394"/>
      <c r="I548" s="394"/>
      <c r="J548" s="394"/>
      <c r="K548" s="262"/>
      <c r="L548" s="262"/>
      <c r="M548" s="262"/>
      <c r="N548" s="262"/>
      <c r="O548" s="262"/>
      <c r="P548" s="262"/>
      <c r="Q548" s="262"/>
    </row>
    <row r="549" spans="8:17" s="263" customFormat="1" x14ac:dyDescent="0.2">
      <c r="H549" s="394"/>
      <c r="I549" s="394"/>
      <c r="J549" s="394"/>
      <c r="K549" s="262"/>
      <c r="L549" s="262"/>
      <c r="M549" s="262"/>
      <c r="N549" s="262"/>
      <c r="O549" s="262"/>
      <c r="P549" s="262"/>
      <c r="Q549" s="262"/>
    </row>
    <row r="550" spans="8:17" s="263" customFormat="1" x14ac:dyDescent="0.2">
      <c r="H550" s="394"/>
      <c r="I550" s="394"/>
      <c r="J550" s="394"/>
      <c r="K550" s="262"/>
      <c r="L550" s="262"/>
      <c r="M550" s="262"/>
      <c r="N550" s="262"/>
      <c r="O550" s="262"/>
      <c r="P550" s="262"/>
      <c r="Q550" s="262"/>
    </row>
    <row r="551" spans="8:17" s="263" customFormat="1" x14ac:dyDescent="0.2">
      <c r="H551" s="394"/>
      <c r="I551" s="394"/>
      <c r="J551" s="394"/>
      <c r="K551" s="262"/>
      <c r="L551" s="262"/>
      <c r="M551" s="262"/>
      <c r="N551" s="262"/>
      <c r="O551" s="262"/>
      <c r="P551" s="262"/>
      <c r="Q551" s="262"/>
    </row>
    <row r="552" spans="8:17" s="263" customFormat="1" x14ac:dyDescent="0.2">
      <c r="H552" s="394"/>
      <c r="I552" s="394"/>
      <c r="J552" s="394"/>
      <c r="K552" s="262"/>
      <c r="L552" s="262"/>
      <c r="M552" s="262"/>
      <c r="N552" s="262"/>
      <c r="O552" s="262"/>
      <c r="P552" s="262"/>
      <c r="Q552" s="262"/>
    </row>
    <row r="553" spans="8:17" s="263" customFormat="1" x14ac:dyDescent="0.2">
      <c r="H553" s="394"/>
      <c r="I553" s="394"/>
      <c r="J553" s="394"/>
      <c r="K553" s="262"/>
      <c r="L553" s="262"/>
      <c r="M553" s="262"/>
      <c r="N553" s="262"/>
      <c r="O553" s="262"/>
      <c r="P553" s="262"/>
      <c r="Q553" s="262"/>
    </row>
    <row r="554" spans="8:17" s="263" customFormat="1" x14ac:dyDescent="0.2">
      <c r="H554" s="394"/>
      <c r="I554" s="394"/>
      <c r="J554" s="394"/>
      <c r="K554" s="262"/>
      <c r="L554" s="262"/>
      <c r="M554" s="262"/>
      <c r="N554" s="262"/>
      <c r="O554" s="262"/>
      <c r="P554" s="262"/>
      <c r="Q554" s="262"/>
    </row>
    <row r="555" spans="8:17" s="263" customFormat="1" x14ac:dyDescent="0.2">
      <c r="H555" s="394"/>
      <c r="I555" s="394"/>
      <c r="J555" s="394"/>
      <c r="K555" s="262"/>
      <c r="L555" s="262"/>
      <c r="M555" s="262"/>
      <c r="N555" s="262"/>
      <c r="O555" s="262"/>
      <c r="P555" s="262"/>
      <c r="Q555" s="262"/>
    </row>
    <row r="556" spans="8:17" s="263" customFormat="1" x14ac:dyDescent="0.2">
      <c r="H556" s="394"/>
      <c r="I556" s="394"/>
      <c r="J556" s="394"/>
      <c r="K556" s="262"/>
      <c r="L556" s="262"/>
      <c r="M556" s="262"/>
      <c r="N556" s="262"/>
      <c r="O556" s="262"/>
      <c r="P556" s="262"/>
      <c r="Q556" s="262"/>
    </row>
    <row r="557" spans="8:17" s="263" customFormat="1" x14ac:dyDescent="0.2">
      <c r="H557" s="394"/>
      <c r="I557" s="394"/>
      <c r="J557" s="394"/>
      <c r="K557" s="262"/>
      <c r="L557" s="262"/>
      <c r="M557" s="262"/>
      <c r="N557" s="262"/>
      <c r="O557" s="262"/>
      <c r="P557" s="262"/>
      <c r="Q557" s="262"/>
    </row>
    <row r="558" spans="8:17" s="263" customFormat="1" x14ac:dyDescent="0.2">
      <c r="H558" s="394"/>
      <c r="I558" s="394"/>
      <c r="J558" s="394"/>
      <c r="K558" s="262"/>
      <c r="L558" s="262"/>
      <c r="M558" s="262"/>
      <c r="N558" s="262"/>
      <c r="O558" s="262"/>
      <c r="P558" s="262"/>
      <c r="Q558" s="262"/>
    </row>
    <row r="559" spans="8:17" s="263" customFormat="1" x14ac:dyDescent="0.2">
      <c r="H559" s="394"/>
      <c r="I559" s="394"/>
      <c r="J559" s="394"/>
      <c r="K559" s="262"/>
      <c r="L559" s="262"/>
      <c r="M559" s="262"/>
      <c r="N559" s="262"/>
      <c r="O559" s="262"/>
      <c r="P559" s="262"/>
      <c r="Q559" s="262"/>
    </row>
    <row r="560" spans="8:17" s="263" customFormat="1" x14ac:dyDescent="0.2">
      <c r="H560" s="394"/>
      <c r="I560" s="394"/>
      <c r="J560" s="394"/>
      <c r="K560" s="262"/>
      <c r="L560" s="262"/>
      <c r="M560" s="262"/>
      <c r="N560" s="262"/>
      <c r="O560" s="262"/>
      <c r="P560" s="262"/>
      <c r="Q560" s="262"/>
    </row>
    <row r="561" spans="8:17" s="263" customFormat="1" x14ac:dyDescent="0.2">
      <c r="H561" s="394"/>
      <c r="I561" s="394"/>
      <c r="J561" s="394"/>
      <c r="K561" s="262"/>
      <c r="L561" s="262"/>
      <c r="M561" s="262"/>
      <c r="N561" s="262"/>
      <c r="O561" s="262"/>
      <c r="P561" s="262"/>
      <c r="Q561" s="262"/>
    </row>
    <row r="562" spans="8:17" s="263" customFormat="1" x14ac:dyDescent="0.2">
      <c r="H562" s="394"/>
      <c r="I562" s="394"/>
      <c r="J562" s="394"/>
      <c r="K562" s="262"/>
      <c r="L562" s="262"/>
      <c r="M562" s="262"/>
      <c r="N562" s="262"/>
      <c r="O562" s="262"/>
      <c r="P562" s="262"/>
      <c r="Q562" s="262"/>
    </row>
    <row r="563" spans="8:17" s="263" customFormat="1" x14ac:dyDescent="0.2">
      <c r="H563" s="394"/>
      <c r="I563" s="394"/>
      <c r="J563" s="394"/>
      <c r="K563" s="262"/>
      <c r="L563" s="262"/>
      <c r="M563" s="262"/>
      <c r="N563" s="262"/>
      <c r="O563" s="262"/>
      <c r="P563" s="262"/>
      <c r="Q563" s="262"/>
    </row>
    <row r="564" spans="8:17" s="263" customFormat="1" x14ac:dyDescent="0.2">
      <c r="H564" s="394"/>
      <c r="I564" s="394"/>
      <c r="J564" s="394"/>
      <c r="K564" s="262"/>
      <c r="L564" s="262"/>
      <c r="M564" s="262"/>
      <c r="N564" s="262"/>
      <c r="O564" s="262"/>
      <c r="P564" s="262"/>
      <c r="Q564" s="262"/>
    </row>
    <row r="565" spans="8:17" s="263" customFormat="1" x14ac:dyDescent="0.2">
      <c r="H565" s="394"/>
      <c r="I565" s="394"/>
      <c r="J565" s="394"/>
      <c r="K565" s="262"/>
      <c r="L565" s="262"/>
      <c r="M565" s="262"/>
      <c r="N565" s="262"/>
      <c r="O565" s="262"/>
      <c r="P565" s="262"/>
      <c r="Q565" s="262"/>
    </row>
    <row r="566" spans="8:17" s="263" customFormat="1" x14ac:dyDescent="0.2">
      <c r="H566" s="394"/>
      <c r="I566" s="394"/>
      <c r="J566" s="394"/>
      <c r="K566" s="262"/>
      <c r="L566" s="262"/>
      <c r="M566" s="262"/>
      <c r="N566" s="262"/>
      <c r="O566" s="262"/>
      <c r="P566" s="262"/>
      <c r="Q566" s="262"/>
    </row>
    <row r="567" spans="8:17" s="263" customFormat="1" x14ac:dyDescent="0.2">
      <c r="H567" s="394"/>
      <c r="I567" s="394"/>
      <c r="J567" s="394"/>
      <c r="K567" s="262"/>
      <c r="L567" s="262"/>
      <c r="M567" s="262"/>
      <c r="N567" s="262"/>
      <c r="O567" s="262"/>
      <c r="P567" s="262"/>
      <c r="Q567" s="262"/>
    </row>
    <row r="568" spans="8:17" s="263" customFormat="1" x14ac:dyDescent="0.2">
      <c r="H568" s="394"/>
      <c r="I568" s="394"/>
      <c r="J568" s="394"/>
      <c r="K568" s="262"/>
      <c r="L568" s="262"/>
      <c r="M568" s="262"/>
      <c r="N568" s="262"/>
      <c r="O568" s="262"/>
      <c r="P568" s="262"/>
      <c r="Q568" s="262"/>
    </row>
    <row r="569" spans="8:17" s="263" customFormat="1" x14ac:dyDescent="0.2">
      <c r="H569" s="394"/>
      <c r="I569" s="394"/>
      <c r="J569" s="394"/>
      <c r="K569" s="262"/>
      <c r="L569" s="262"/>
      <c r="M569" s="262"/>
      <c r="N569" s="262"/>
      <c r="O569" s="262"/>
      <c r="P569" s="262"/>
      <c r="Q569" s="262"/>
    </row>
    <row r="570" spans="8:17" s="263" customFormat="1" x14ac:dyDescent="0.2">
      <c r="H570" s="394"/>
      <c r="I570" s="394"/>
      <c r="J570" s="394"/>
      <c r="K570" s="262"/>
      <c r="L570" s="262"/>
      <c r="M570" s="262"/>
      <c r="N570" s="262"/>
      <c r="O570" s="262"/>
      <c r="P570" s="262"/>
      <c r="Q570" s="262"/>
    </row>
    <row r="571" spans="8:17" s="263" customFormat="1" x14ac:dyDescent="0.2">
      <c r="H571" s="394"/>
      <c r="I571" s="394"/>
      <c r="J571" s="394"/>
      <c r="K571" s="262"/>
      <c r="L571" s="262"/>
      <c r="M571" s="262"/>
      <c r="N571" s="262"/>
      <c r="O571" s="262"/>
      <c r="P571" s="262"/>
      <c r="Q571" s="262"/>
    </row>
    <row r="572" spans="8:17" s="263" customFormat="1" x14ac:dyDescent="0.2">
      <c r="H572" s="394"/>
      <c r="I572" s="394"/>
      <c r="J572" s="394"/>
      <c r="K572" s="262"/>
      <c r="L572" s="262"/>
      <c r="M572" s="262"/>
      <c r="N572" s="262"/>
      <c r="O572" s="262"/>
      <c r="P572" s="262"/>
      <c r="Q572" s="262"/>
    </row>
    <row r="573" spans="8:17" s="263" customFormat="1" x14ac:dyDescent="0.2">
      <c r="H573" s="394"/>
      <c r="I573" s="394"/>
      <c r="J573" s="394"/>
      <c r="K573" s="262"/>
      <c r="L573" s="262"/>
      <c r="M573" s="262"/>
      <c r="N573" s="262"/>
      <c r="O573" s="262"/>
      <c r="P573" s="262"/>
      <c r="Q573" s="262"/>
    </row>
    <row r="574" spans="8:17" s="263" customFormat="1" x14ac:dyDescent="0.2">
      <c r="H574" s="394"/>
      <c r="I574" s="394"/>
      <c r="J574" s="394"/>
      <c r="K574" s="262"/>
      <c r="L574" s="262"/>
      <c r="M574" s="262"/>
      <c r="N574" s="262"/>
      <c r="O574" s="262"/>
      <c r="P574" s="262"/>
      <c r="Q574" s="262"/>
    </row>
    <row r="575" spans="8:17" s="263" customFormat="1" x14ac:dyDescent="0.2">
      <c r="H575" s="394"/>
      <c r="I575" s="394"/>
      <c r="J575" s="394"/>
      <c r="K575" s="262"/>
      <c r="L575" s="262"/>
      <c r="M575" s="262"/>
      <c r="N575" s="262"/>
      <c r="O575" s="262"/>
      <c r="P575" s="262"/>
      <c r="Q575" s="262"/>
    </row>
    <row r="576" spans="8:17" s="263" customFormat="1" x14ac:dyDescent="0.2">
      <c r="H576" s="394"/>
      <c r="I576" s="394"/>
      <c r="J576" s="394"/>
      <c r="K576" s="262"/>
      <c r="L576" s="262"/>
      <c r="M576" s="262"/>
      <c r="N576" s="262"/>
      <c r="O576" s="262"/>
      <c r="P576" s="262"/>
      <c r="Q576" s="262"/>
    </row>
    <row r="577" spans="8:17" s="263" customFormat="1" x14ac:dyDescent="0.2">
      <c r="H577" s="394"/>
      <c r="I577" s="394"/>
      <c r="J577" s="394"/>
      <c r="K577" s="262"/>
      <c r="L577" s="262"/>
      <c r="M577" s="262"/>
      <c r="N577" s="262"/>
      <c r="O577" s="262"/>
      <c r="P577" s="262"/>
      <c r="Q577" s="262"/>
    </row>
    <row r="578" spans="8:17" s="263" customFormat="1" x14ac:dyDescent="0.2">
      <c r="H578" s="394"/>
      <c r="I578" s="394"/>
      <c r="J578" s="394"/>
      <c r="K578" s="262"/>
      <c r="L578" s="262"/>
      <c r="M578" s="262"/>
      <c r="N578" s="262"/>
      <c r="O578" s="262"/>
      <c r="P578" s="262"/>
      <c r="Q578" s="262"/>
    </row>
    <row r="579" spans="8:17" s="263" customFormat="1" x14ac:dyDescent="0.2">
      <c r="H579" s="394"/>
      <c r="I579" s="394"/>
      <c r="J579" s="394"/>
      <c r="K579" s="262"/>
      <c r="L579" s="262"/>
      <c r="M579" s="262"/>
      <c r="N579" s="262"/>
      <c r="O579" s="262"/>
      <c r="P579" s="262"/>
      <c r="Q579" s="262"/>
    </row>
    <row r="580" spans="8:17" s="263" customFormat="1" x14ac:dyDescent="0.2">
      <c r="H580" s="394"/>
      <c r="I580" s="394"/>
      <c r="J580" s="394"/>
      <c r="K580" s="262"/>
      <c r="L580" s="262"/>
      <c r="M580" s="262"/>
      <c r="N580" s="262"/>
      <c r="O580" s="262"/>
      <c r="P580" s="262"/>
      <c r="Q580" s="262"/>
    </row>
    <row r="581" spans="8:17" s="263" customFormat="1" x14ac:dyDescent="0.2">
      <c r="H581" s="394"/>
      <c r="I581" s="394"/>
      <c r="J581" s="394"/>
      <c r="K581" s="262"/>
      <c r="L581" s="262"/>
      <c r="M581" s="262"/>
      <c r="N581" s="262"/>
      <c r="O581" s="262"/>
      <c r="P581" s="262"/>
      <c r="Q581" s="262"/>
    </row>
    <row r="582" spans="8:17" s="263" customFormat="1" x14ac:dyDescent="0.2">
      <c r="H582" s="394"/>
      <c r="I582" s="394"/>
      <c r="J582" s="394"/>
      <c r="K582" s="262"/>
      <c r="L582" s="262"/>
      <c r="M582" s="262"/>
      <c r="N582" s="262"/>
      <c r="O582" s="262"/>
      <c r="P582" s="262"/>
      <c r="Q582" s="262"/>
    </row>
    <row r="583" spans="8:17" s="263" customFormat="1" x14ac:dyDescent="0.2">
      <c r="H583" s="394"/>
      <c r="I583" s="394"/>
      <c r="J583" s="394"/>
      <c r="K583" s="262"/>
      <c r="L583" s="262"/>
      <c r="M583" s="262"/>
      <c r="N583" s="262"/>
      <c r="O583" s="262"/>
      <c r="P583" s="262"/>
      <c r="Q583" s="262"/>
    </row>
    <row r="584" spans="8:17" s="263" customFormat="1" x14ac:dyDescent="0.2">
      <c r="H584" s="394"/>
      <c r="I584" s="394"/>
      <c r="J584" s="394"/>
      <c r="K584" s="262"/>
      <c r="L584" s="262"/>
      <c r="M584" s="262"/>
      <c r="N584" s="262"/>
      <c r="O584" s="262"/>
      <c r="P584" s="262"/>
      <c r="Q584" s="262"/>
    </row>
    <row r="585" spans="8:17" s="263" customFormat="1" x14ac:dyDescent="0.2">
      <c r="H585" s="394"/>
      <c r="I585" s="394"/>
      <c r="J585" s="394"/>
      <c r="K585" s="262"/>
      <c r="L585" s="262"/>
      <c r="M585" s="262"/>
      <c r="N585" s="262"/>
      <c r="O585" s="262"/>
      <c r="P585" s="262"/>
      <c r="Q585" s="262"/>
    </row>
    <row r="586" spans="8:17" s="263" customFormat="1" x14ac:dyDescent="0.2">
      <c r="H586" s="394"/>
      <c r="I586" s="394"/>
      <c r="J586" s="394"/>
      <c r="K586" s="262"/>
      <c r="L586" s="262"/>
      <c r="M586" s="262"/>
      <c r="N586" s="262"/>
      <c r="O586" s="262"/>
      <c r="P586" s="262"/>
      <c r="Q586" s="262"/>
    </row>
    <row r="587" spans="8:17" s="263" customFormat="1" x14ac:dyDescent="0.2">
      <c r="H587" s="394"/>
      <c r="I587" s="394"/>
      <c r="J587" s="394"/>
      <c r="K587" s="262"/>
      <c r="L587" s="262"/>
      <c r="M587" s="262"/>
      <c r="N587" s="262"/>
      <c r="O587" s="262"/>
      <c r="P587" s="262"/>
      <c r="Q587" s="262"/>
    </row>
    <row r="588" spans="8:17" s="263" customFormat="1" x14ac:dyDescent="0.2">
      <c r="H588" s="394"/>
      <c r="I588" s="394"/>
      <c r="J588" s="394"/>
      <c r="K588" s="262"/>
      <c r="L588" s="262"/>
      <c r="M588" s="262"/>
      <c r="N588" s="262"/>
      <c r="O588" s="262"/>
      <c r="P588" s="262"/>
      <c r="Q588" s="262"/>
    </row>
    <row r="589" spans="8:17" s="263" customFormat="1" x14ac:dyDescent="0.2">
      <c r="H589" s="394"/>
      <c r="I589" s="394"/>
      <c r="J589" s="394"/>
      <c r="K589" s="262"/>
      <c r="L589" s="262"/>
      <c r="M589" s="262"/>
      <c r="N589" s="262"/>
      <c r="O589" s="262"/>
      <c r="P589" s="262"/>
      <c r="Q589" s="262"/>
    </row>
    <row r="590" spans="8:17" s="263" customFormat="1" x14ac:dyDescent="0.2">
      <c r="H590" s="394"/>
      <c r="I590" s="394"/>
      <c r="J590" s="394"/>
      <c r="K590" s="262"/>
      <c r="L590" s="262"/>
      <c r="M590" s="262"/>
      <c r="N590" s="262"/>
      <c r="O590" s="262"/>
      <c r="P590" s="262"/>
      <c r="Q590" s="262"/>
    </row>
    <row r="591" spans="8:17" s="263" customFormat="1" x14ac:dyDescent="0.2">
      <c r="H591" s="394"/>
      <c r="I591" s="394"/>
      <c r="J591" s="394"/>
      <c r="K591" s="262"/>
      <c r="L591" s="262"/>
      <c r="M591" s="262"/>
      <c r="N591" s="262"/>
      <c r="O591" s="262"/>
      <c r="P591" s="262"/>
      <c r="Q591" s="262"/>
    </row>
    <row r="592" spans="8:17" s="263" customFormat="1" x14ac:dyDescent="0.2">
      <c r="H592" s="394"/>
      <c r="I592" s="394"/>
      <c r="J592" s="394"/>
      <c r="K592" s="262"/>
      <c r="L592" s="262"/>
      <c r="M592" s="262"/>
      <c r="N592" s="262"/>
      <c r="O592" s="262"/>
      <c r="P592" s="262"/>
      <c r="Q592" s="262"/>
    </row>
    <row r="593" spans="8:17" s="263" customFormat="1" x14ac:dyDescent="0.2">
      <c r="H593" s="394"/>
      <c r="I593" s="394"/>
      <c r="J593" s="394"/>
      <c r="K593" s="262"/>
      <c r="L593" s="262"/>
      <c r="M593" s="262"/>
      <c r="N593" s="262"/>
      <c r="O593" s="262"/>
      <c r="P593" s="262"/>
      <c r="Q593" s="262"/>
    </row>
    <row r="594" spans="8:17" s="263" customFormat="1" x14ac:dyDescent="0.2">
      <c r="H594" s="394"/>
      <c r="I594" s="394"/>
      <c r="J594" s="394"/>
      <c r="K594" s="262"/>
      <c r="L594" s="262"/>
      <c r="M594" s="262"/>
      <c r="N594" s="262"/>
      <c r="O594" s="262"/>
      <c r="P594" s="262"/>
      <c r="Q594" s="262"/>
    </row>
    <row r="595" spans="8:17" s="263" customFormat="1" x14ac:dyDescent="0.2">
      <c r="H595" s="394"/>
      <c r="I595" s="394"/>
      <c r="J595" s="394"/>
      <c r="K595" s="262"/>
      <c r="L595" s="262"/>
      <c r="M595" s="262"/>
      <c r="N595" s="262"/>
      <c r="O595" s="262"/>
      <c r="P595" s="262"/>
      <c r="Q595" s="262"/>
    </row>
    <row r="596" spans="8:17" s="263" customFormat="1" x14ac:dyDescent="0.2">
      <c r="H596" s="394"/>
      <c r="I596" s="394"/>
      <c r="J596" s="394"/>
      <c r="K596" s="262"/>
      <c r="L596" s="262"/>
      <c r="M596" s="262"/>
      <c r="N596" s="262"/>
      <c r="O596" s="262"/>
      <c r="P596" s="262"/>
      <c r="Q596" s="262"/>
    </row>
    <row r="597" spans="8:17" s="263" customFormat="1" x14ac:dyDescent="0.2">
      <c r="H597" s="394"/>
      <c r="I597" s="394"/>
      <c r="J597" s="394"/>
      <c r="K597" s="262"/>
      <c r="L597" s="262"/>
      <c r="M597" s="262"/>
      <c r="N597" s="262"/>
      <c r="O597" s="262"/>
      <c r="P597" s="262"/>
      <c r="Q597" s="262"/>
    </row>
    <row r="598" spans="8:17" s="263" customFormat="1" x14ac:dyDescent="0.2">
      <c r="H598" s="394"/>
      <c r="I598" s="394"/>
      <c r="J598" s="394"/>
      <c r="K598" s="262"/>
      <c r="L598" s="262"/>
      <c r="M598" s="262"/>
      <c r="N598" s="262"/>
      <c r="O598" s="262"/>
      <c r="P598" s="262"/>
      <c r="Q598" s="262"/>
    </row>
    <row r="599" spans="8:17" s="263" customFormat="1" x14ac:dyDescent="0.2">
      <c r="H599" s="394"/>
      <c r="I599" s="394"/>
      <c r="J599" s="394"/>
      <c r="K599" s="262"/>
      <c r="L599" s="262"/>
      <c r="M599" s="262"/>
      <c r="N599" s="262"/>
      <c r="O599" s="262"/>
      <c r="P599" s="262"/>
      <c r="Q599" s="262"/>
    </row>
    <row r="600" spans="8:17" s="263" customFormat="1" x14ac:dyDescent="0.2">
      <c r="H600" s="394"/>
      <c r="I600" s="394"/>
      <c r="J600" s="394"/>
      <c r="K600" s="262"/>
      <c r="L600" s="262"/>
      <c r="M600" s="262"/>
      <c r="N600" s="262"/>
      <c r="O600" s="262"/>
      <c r="P600" s="262"/>
      <c r="Q600" s="262"/>
    </row>
    <row r="601" spans="8:17" s="263" customFormat="1" x14ac:dyDescent="0.2">
      <c r="H601" s="394"/>
      <c r="I601" s="394"/>
      <c r="J601" s="394"/>
      <c r="K601" s="262"/>
      <c r="L601" s="262"/>
      <c r="M601" s="262"/>
      <c r="N601" s="262"/>
      <c r="O601" s="262"/>
      <c r="P601" s="262"/>
      <c r="Q601" s="262"/>
    </row>
    <row r="602" spans="8:17" s="263" customFormat="1" x14ac:dyDescent="0.2">
      <c r="H602" s="394"/>
      <c r="I602" s="394"/>
      <c r="J602" s="394"/>
      <c r="K602" s="262"/>
      <c r="L602" s="262"/>
      <c r="M602" s="262"/>
      <c r="N602" s="262"/>
      <c r="O602" s="262"/>
      <c r="P602" s="262"/>
      <c r="Q602" s="262"/>
    </row>
    <row r="603" spans="8:17" s="263" customFormat="1" x14ac:dyDescent="0.2">
      <c r="H603" s="394"/>
      <c r="I603" s="394"/>
      <c r="J603" s="394"/>
      <c r="K603" s="262"/>
      <c r="L603" s="262"/>
      <c r="M603" s="262"/>
      <c r="N603" s="262"/>
      <c r="O603" s="262"/>
      <c r="P603" s="262"/>
      <c r="Q603" s="262"/>
    </row>
    <row r="604" spans="8:17" s="263" customFormat="1" x14ac:dyDescent="0.2">
      <c r="H604" s="394"/>
      <c r="I604" s="394"/>
      <c r="J604" s="394"/>
      <c r="K604" s="262"/>
      <c r="L604" s="262"/>
      <c r="M604" s="262"/>
      <c r="N604" s="262"/>
      <c r="O604" s="262"/>
      <c r="P604" s="262"/>
      <c r="Q604" s="262"/>
    </row>
    <row r="605" spans="8:17" s="263" customFormat="1" x14ac:dyDescent="0.2">
      <c r="H605" s="394"/>
      <c r="I605" s="394"/>
      <c r="J605" s="394"/>
      <c r="K605" s="262"/>
      <c r="L605" s="262"/>
      <c r="M605" s="262"/>
      <c r="N605" s="262"/>
      <c r="O605" s="262"/>
      <c r="P605" s="262"/>
      <c r="Q605" s="262"/>
    </row>
    <row r="606" spans="8:17" s="263" customFormat="1" x14ac:dyDescent="0.2">
      <c r="H606" s="394"/>
      <c r="I606" s="394"/>
      <c r="J606" s="394"/>
      <c r="K606" s="262"/>
      <c r="L606" s="262"/>
      <c r="M606" s="262"/>
      <c r="N606" s="262"/>
      <c r="O606" s="262"/>
      <c r="P606" s="262"/>
      <c r="Q606" s="262"/>
    </row>
    <row r="607" spans="8:17" s="263" customFormat="1" x14ac:dyDescent="0.2">
      <c r="H607" s="394"/>
      <c r="I607" s="394"/>
      <c r="J607" s="394"/>
      <c r="K607" s="262"/>
      <c r="L607" s="262"/>
      <c r="M607" s="262"/>
      <c r="N607" s="262"/>
      <c r="O607" s="262"/>
      <c r="P607" s="262"/>
      <c r="Q607" s="262"/>
    </row>
    <row r="608" spans="8:17" s="263" customFormat="1" x14ac:dyDescent="0.2">
      <c r="H608" s="394"/>
      <c r="I608" s="394"/>
      <c r="J608" s="394"/>
      <c r="K608" s="262"/>
      <c r="L608" s="262"/>
      <c r="M608" s="262"/>
      <c r="N608" s="262"/>
      <c r="O608" s="262"/>
      <c r="P608" s="262"/>
      <c r="Q608" s="262"/>
    </row>
    <row r="609" spans="8:17" s="263" customFormat="1" x14ac:dyDescent="0.2">
      <c r="H609" s="394"/>
      <c r="I609" s="394"/>
      <c r="J609" s="394"/>
      <c r="K609" s="262"/>
      <c r="L609" s="262"/>
      <c r="M609" s="262"/>
      <c r="N609" s="262"/>
      <c r="O609" s="262"/>
      <c r="P609" s="262"/>
      <c r="Q609" s="262"/>
    </row>
    <row r="610" spans="8:17" s="263" customFormat="1" x14ac:dyDescent="0.2">
      <c r="H610" s="394"/>
      <c r="I610" s="394"/>
      <c r="J610" s="394"/>
      <c r="K610" s="262"/>
      <c r="L610" s="262"/>
      <c r="M610" s="262"/>
      <c r="N610" s="262"/>
      <c r="O610" s="262"/>
      <c r="P610" s="262"/>
      <c r="Q610" s="262"/>
    </row>
    <row r="611" spans="8:17" s="263" customFormat="1" x14ac:dyDescent="0.2">
      <c r="H611" s="394"/>
      <c r="I611" s="394"/>
      <c r="J611" s="394"/>
      <c r="K611" s="262"/>
      <c r="L611" s="262"/>
      <c r="M611" s="262"/>
      <c r="N611" s="262"/>
      <c r="O611" s="262"/>
      <c r="P611" s="262"/>
      <c r="Q611" s="262"/>
    </row>
    <row r="612" spans="8:17" s="263" customFormat="1" x14ac:dyDescent="0.2">
      <c r="H612" s="394"/>
      <c r="I612" s="394"/>
      <c r="J612" s="394"/>
      <c r="K612" s="262"/>
      <c r="L612" s="262"/>
      <c r="M612" s="262"/>
      <c r="N612" s="262"/>
      <c r="O612" s="262"/>
      <c r="P612" s="262"/>
      <c r="Q612" s="262"/>
    </row>
    <row r="613" spans="8:17" s="263" customFormat="1" x14ac:dyDescent="0.2">
      <c r="H613" s="394"/>
      <c r="I613" s="394"/>
      <c r="J613" s="394"/>
      <c r="K613" s="262"/>
      <c r="L613" s="262"/>
      <c r="M613" s="262"/>
      <c r="N613" s="262"/>
      <c r="O613" s="262"/>
      <c r="P613" s="262"/>
      <c r="Q613" s="262"/>
    </row>
    <row r="614" spans="8:17" s="263" customFormat="1" x14ac:dyDescent="0.2">
      <c r="H614" s="394"/>
      <c r="I614" s="394"/>
      <c r="J614" s="394"/>
      <c r="K614" s="262"/>
      <c r="L614" s="262"/>
      <c r="M614" s="262"/>
      <c r="N614" s="262"/>
      <c r="O614" s="262"/>
      <c r="P614" s="262"/>
      <c r="Q614" s="262"/>
    </row>
    <row r="615" spans="8:17" s="263" customFormat="1" x14ac:dyDescent="0.2">
      <c r="H615" s="394"/>
      <c r="I615" s="394"/>
      <c r="J615" s="394"/>
      <c r="K615" s="262"/>
      <c r="L615" s="262"/>
      <c r="M615" s="262"/>
      <c r="N615" s="262"/>
      <c r="O615" s="262"/>
      <c r="P615" s="262"/>
      <c r="Q615" s="262"/>
    </row>
    <row r="616" spans="8:17" s="263" customFormat="1" x14ac:dyDescent="0.2">
      <c r="H616" s="394"/>
      <c r="I616" s="394"/>
      <c r="J616" s="394"/>
      <c r="K616" s="262"/>
      <c r="L616" s="262"/>
      <c r="M616" s="262"/>
      <c r="N616" s="262"/>
      <c r="O616" s="262"/>
      <c r="P616" s="262"/>
      <c r="Q616" s="262"/>
    </row>
    <row r="617" spans="8:17" s="263" customFormat="1" x14ac:dyDescent="0.2">
      <c r="H617" s="394"/>
      <c r="I617" s="394"/>
      <c r="J617" s="394"/>
      <c r="K617" s="262"/>
      <c r="L617" s="262"/>
      <c r="M617" s="262"/>
      <c r="N617" s="262"/>
      <c r="O617" s="262"/>
      <c r="P617" s="262"/>
      <c r="Q617" s="262"/>
    </row>
    <row r="618" spans="8:17" s="263" customFormat="1" x14ac:dyDescent="0.2">
      <c r="H618" s="394"/>
      <c r="I618" s="394"/>
      <c r="J618" s="394"/>
      <c r="K618" s="262"/>
      <c r="L618" s="262"/>
      <c r="M618" s="262"/>
      <c r="N618" s="262"/>
      <c r="O618" s="262"/>
      <c r="P618" s="262"/>
      <c r="Q618" s="262"/>
    </row>
    <row r="619" spans="8:17" s="263" customFormat="1" x14ac:dyDescent="0.2">
      <c r="H619" s="394"/>
      <c r="I619" s="394"/>
      <c r="J619" s="394"/>
      <c r="K619" s="262"/>
      <c r="L619" s="262"/>
      <c r="M619" s="262"/>
      <c r="N619" s="262"/>
      <c r="O619" s="262"/>
      <c r="P619" s="262"/>
      <c r="Q619" s="262"/>
    </row>
    <row r="620" spans="8:17" s="263" customFormat="1" x14ac:dyDescent="0.2">
      <c r="H620" s="394"/>
      <c r="I620" s="394"/>
      <c r="J620" s="394"/>
      <c r="K620" s="262"/>
      <c r="L620" s="262"/>
      <c r="M620" s="262"/>
      <c r="N620" s="262"/>
      <c r="O620" s="262"/>
      <c r="P620" s="262"/>
      <c r="Q620" s="262"/>
    </row>
    <row r="621" spans="8:17" s="263" customFormat="1" x14ac:dyDescent="0.2">
      <c r="H621" s="394"/>
      <c r="I621" s="394"/>
      <c r="J621" s="394"/>
      <c r="K621" s="262"/>
      <c r="L621" s="262"/>
      <c r="M621" s="262"/>
      <c r="N621" s="262"/>
      <c r="O621" s="262"/>
      <c r="P621" s="262"/>
      <c r="Q621" s="262"/>
    </row>
    <row r="622" spans="8:17" s="263" customFormat="1" x14ac:dyDescent="0.2">
      <c r="H622" s="394"/>
      <c r="I622" s="394"/>
      <c r="J622" s="394"/>
      <c r="K622" s="262"/>
      <c r="L622" s="262"/>
      <c r="M622" s="262"/>
      <c r="N622" s="262"/>
      <c r="O622" s="262"/>
      <c r="P622" s="262"/>
      <c r="Q622" s="262"/>
    </row>
    <row r="623" spans="8:17" s="263" customFormat="1" x14ac:dyDescent="0.2">
      <c r="H623" s="394"/>
      <c r="I623" s="394"/>
      <c r="J623" s="394"/>
      <c r="K623" s="262"/>
      <c r="L623" s="262"/>
      <c r="M623" s="262"/>
      <c r="N623" s="262"/>
      <c r="O623" s="262"/>
      <c r="P623" s="262"/>
      <c r="Q623" s="262"/>
    </row>
    <row r="624" spans="8:17" s="263" customFormat="1" x14ac:dyDescent="0.2">
      <c r="H624" s="394"/>
      <c r="I624" s="394"/>
      <c r="J624" s="394"/>
      <c r="K624" s="262"/>
      <c r="L624" s="262"/>
      <c r="M624" s="262"/>
      <c r="N624" s="262"/>
      <c r="O624" s="262"/>
      <c r="P624" s="262"/>
      <c r="Q624" s="262"/>
    </row>
    <row r="625" spans="8:17" s="263" customFormat="1" x14ac:dyDescent="0.2">
      <c r="H625" s="394"/>
      <c r="I625" s="394"/>
      <c r="J625" s="394"/>
      <c r="K625" s="262"/>
      <c r="L625" s="262"/>
      <c r="M625" s="262"/>
      <c r="N625" s="262"/>
      <c r="O625" s="262"/>
      <c r="P625" s="262"/>
      <c r="Q625" s="262"/>
    </row>
    <row r="626" spans="8:17" s="263" customFormat="1" x14ac:dyDescent="0.2">
      <c r="H626" s="394"/>
      <c r="I626" s="394"/>
      <c r="J626" s="394"/>
      <c r="K626" s="262"/>
      <c r="L626" s="262"/>
      <c r="M626" s="262"/>
      <c r="N626" s="262"/>
      <c r="O626" s="262"/>
      <c r="P626" s="262"/>
      <c r="Q626" s="262"/>
    </row>
    <row r="627" spans="8:17" s="263" customFormat="1" x14ac:dyDescent="0.2">
      <c r="H627" s="394"/>
      <c r="I627" s="394"/>
      <c r="J627" s="394"/>
      <c r="K627" s="262"/>
      <c r="L627" s="262"/>
      <c r="M627" s="262"/>
      <c r="N627" s="262"/>
      <c r="O627" s="262"/>
      <c r="P627" s="262"/>
      <c r="Q627" s="262"/>
    </row>
    <row r="628" spans="8:17" s="263" customFormat="1" x14ac:dyDescent="0.2">
      <c r="H628" s="394"/>
      <c r="I628" s="394"/>
      <c r="J628" s="394"/>
      <c r="K628" s="262"/>
      <c r="L628" s="262"/>
      <c r="M628" s="262"/>
      <c r="N628" s="262"/>
      <c r="O628" s="262"/>
      <c r="P628" s="262"/>
      <c r="Q628" s="262"/>
    </row>
    <row r="629" spans="8:17" s="263" customFormat="1" x14ac:dyDescent="0.2">
      <c r="H629" s="394"/>
      <c r="I629" s="394"/>
      <c r="J629" s="394"/>
      <c r="K629" s="262"/>
      <c r="L629" s="262"/>
      <c r="M629" s="262"/>
      <c r="N629" s="262"/>
      <c r="O629" s="262"/>
      <c r="P629" s="262"/>
      <c r="Q629" s="262"/>
    </row>
    <row r="630" spans="8:17" s="263" customFormat="1" x14ac:dyDescent="0.2">
      <c r="H630" s="394"/>
      <c r="I630" s="394"/>
      <c r="J630" s="394"/>
      <c r="K630" s="262"/>
      <c r="L630" s="262"/>
      <c r="M630" s="262"/>
      <c r="N630" s="262"/>
      <c r="O630" s="262"/>
      <c r="P630" s="262"/>
      <c r="Q630" s="262"/>
    </row>
    <row r="631" spans="8:17" s="263" customFormat="1" x14ac:dyDescent="0.2">
      <c r="H631" s="394"/>
      <c r="I631" s="394"/>
      <c r="J631" s="394"/>
      <c r="K631" s="262"/>
      <c r="L631" s="262"/>
      <c r="M631" s="262"/>
      <c r="N631" s="262"/>
      <c r="O631" s="262"/>
      <c r="P631" s="262"/>
      <c r="Q631" s="262"/>
    </row>
    <row r="632" spans="8:17" s="263" customFormat="1" x14ac:dyDescent="0.2">
      <c r="H632" s="394"/>
      <c r="I632" s="394"/>
      <c r="J632" s="394"/>
      <c r="K632" s="262"/>
      <c r="L632" s="262"/>
      <c r="M632" s="262"/>
      <c r="N632" s="262"/>
      <c r="O632" s="262"/>
      <c r="P632" s="262"/>
      <c r="Q632" s="262"/>
    </row>
    <row r="633" spans="8:17" s="263" customFormat="1" x14ac:dyDescent="0.2">
      <c r="H633" s="394"/>
      <c r="I633" s="394"/>
      <c r="J633" s="394"/>
      <c r="K633" s="262"/>
      <c r="L633" s="262"/>
      <c r="M633" s="262"/>
      <c r="N633" s="262"/>
      <c r="O633" s="262"/>
      <c r="P633" s="262"/>
      <c r="Q633" s="262"/>
    </row>
    <row r="634" spans="8:17" s="263" customFormat="1" x14ac:dyDescent="0.2">
      <c r="H634" s="394"/>
      <c r="I634" s="394"/>
      <c r="J634" s="394"/>
      <c r="K634" s="262"/>
      <c r="L634" s="262"/>
      <c r="M634" s="262"/>
      <c r="N634" s="262"/>
      <c r="O634" s="262"/>
      <c r="P634" s="262"/>
      <c r="Q634" s="262"/>
    </row>
    <row r="635" spans="8:17" s="263" customFormat="1" x14ac:dyDescent="0.2">
      <c r="H635" s="394"/>
      <c r="I635" s="394"/>
      <c r="J635" s="394"/>
      <c r="K635" s="262"/>
      <c r="L635" s="262"/>
      <c r="M635" s="262"/>
      <c r="N635" s="262"/>
      <c r="O635" s="262"/>
      <c r="P635" s="262"/>
      <c r="Q635" s="262"/>
    </row>
    <row r="636" spans="8:17" s="263" customFormat="1" x14ac:dyDescent="0.2">
      <c r="H636" s="394"/>
      <c r="I636" s="394"/>
      <c r="J636" s="394"/>
      <c r="K636" s="262"/>
      <c r="L636" s="262"/>
      <c r="M636" s="262"/>
      <c r="N636" s="262"/>
      <c r="O636" s="262"/>
      <c r="P636" s="262"/>
      <c r="Q636" s="262"/>
    </row>
    <row r="637" spans="8:17" s="263" customFormat="1" x14ac:dyDescent="0.2">
      <c r="H637" s="394"/>
      <c r="I637" s="394"/>
      <c r="J637" s="394"/>
      <c r="K637" s="262"/>
      <c r="L637" s="262"/>
      <c r="M637" s="262"/>
      <c r="N637" s="262"/>
      <c r="O637" s="262"/>
      <c r="P637" s="262"/>
      <c r="Q637" s="262"/>
    </row>
    <row r="638" spans="8:17" s="263" customFormat="1" x14ac:dyDescent="0.2">
      <c r="H638" s="394"/>
      <c r="I638" s="394"/>
      <c r="J638" s="394"/>
      <c r="K638" s="262"/>
      <c r="L638" s="262"/>
      <c r="M638" s="262"/>
      <c r="N638" s="262"/>
      <c r="O638" s="262"/>
      <c r="P638" s="262"/>
      <c r="Q638" s="262"/>
    </row>
    <row r="639" spans="8:17" s="263" customFormat="1" x14ac:dyDescent="0.2">
      <c r="H639" s="394"/>
      <c r="I639" s="394"/>
      <c r="J639" s="394"/>
      <c r="K639" s="262"/>
      <c r="L639" s="262"/>
      <c r="M639" s="262"/>
      <c r="N639" s="262"/>
      <c r="O639" s="262"/>
      <c r="P639" s="262"/>
      <c r="Q639" s="262"/>
    </row>
    <row r="640" spans="8:17" s="263" customFormat="1" x14ac:dyDescent="0.2">
      <c r="H640" s="394"/>
      <c r="I640" s="394"/>
      <c r="J640" s="394"/>
      <c r="K640" s="262"/>
      <c r="L640" s="262"/>
      <c r="M640" s="262"/>
      <c r="N640" s="262"/>
      <c r="O640" s="262"/>
      <c r="P640" s="262"/>
      <c r="Q640" s="262"/>
    </row>
    <row r="641" spans="8:17" s="263" customFormat="1" x14ac:dyDescent="0.2">
      <c r="H641" s="394"/>
      <c r="I641" s="394"/>
      <c r="J641" s="394"/>
      <c r="K641" s="262"/>
      <c r="L641" s="262"/>
      <c r="M641" s="262"/>
      <c r="N641" s="262"/>
      <c r="O641" s="262"/>
      <c r="P641" s="262"/>
      <c r="Q641" s="262"/>
    </row>
    <row r="642" spans="8:17" s="263" customFormat="1" x14ac:dyDescent="0.2">
      <c r="H642" s="394"/>
      <c r="I642" s="394"/>
      <c r="J642" s="394"/>
      <c r="K642" s="262"/>
      <c r="L642" s="262"/>
      <c r="M642" s="262"/>
      <c r="N642" s="262"/>
      <c r="O642" s="262"/>
      <c r="P642" s="262"/>
      <c r="Q642" s="262"/>
    </row>
    <row r="643" spans="8:17" s="263" customFormat="1" x14ac:dyDescent="0.2">
      <c r="H643" s="394"/>
      <c r="I643" s="394"/>
      <c r="J643" s="394"/>
      <c r="K643" s="262"/>
      <c r="L643" s="262"/>
      <c r="M643" s="262"/>
      <c r="N643" s="262"/>
      <c r="O643" s="262"/>
      <c r="P643" s="262"/>
      <c r="Q643" s="262"/>
    </row>
    <row r="644" spans="8:17" s="263" customFormat="1" x14ac:dyDescent="0.2">
      <c r="H644" s="394"/>
      <c r="I644" s="394"/>
      <c r="J644" s="394"/>
      <c r="K644" s="262"/>
      <c r="L644" s="262"/>
      <c r="M644" s="262"/>
      <c r="N644" s="262"/>
      <c r="O644" s="262"/>
      <c r="P644" s="262"/>
      <c r="Q644" s="262"/>
    </row>
    <row r="645" spans="8:17" s="263" customFormat="1" x14ac:dyDescent="0.2">
      <c r="H645" s="394"/>
      <c r="I645" s="394"/>
      <c r="J645" s="394"/>
      <c r="K645" s="262"/>
      <c r="L645" s="262"/>
      <c r="M645" s="262"/>
      <c r="N645" s="262"/>
      <c r="O645" s="262"/>
      <c r="P645" s="262"/>
      <c r="Q645" s="262"/>
    </row>
    <row r="646" spans="8:17" s="263" customFormat="1" x14ac:dyDescent="0.2">
      <c r="H646" s="394"/>
      <c r="I646" s="394"/>
      <c r="J646" s="394"/>
      <c r="K646" s="262"/>
      <c r="L646" s="262"/>
      <c r="M646" s="262"/>
      <c r="N646" s="262"/>
      <c r="O646" s="262"/>
      <c r="P646" s="262"/>
      <c r="Q646" s="262"/>
    </row>
    <row r="647" spans="8:17" s="263" customFormat="1" x14ac:dyDescent="0.2">
      <c r="H647" s="394"/>
      <c r="I647" s="394"/>
      <c r="J647" s="394"/>
      <c r="K647" s="262"/>
      <c r="L647" s="262"/>
      <c r="M647" s="262"/>
      <c r="N647" s="262"/>
      <c r="O647" s="262"/>
      <c r="P647" s="262"/>
      <c r="Q647" s="262"/>
    </row>
    <row r="648" spans="8:17" s="263" customFormat="1" x14ac:dyDescent="0.2">
      <c r="H648" s="394"/>
      <c r="I648" s="394"/>
      <c r="J648" s="394"/>
      <c r="K648" s="262"/>
      <c r="L648" s="262"/>
      <c r="M648" s="262"/>
      <c r="N648" s="262"/>
      <c r="O648" s="262"/>
      <c r="P648" s="262"/>
      <c r="Q648" s="262"/>
    </row>
    <row r="649" spans="8:17" s="263" customFormat="1" x14ac:dyDescent="0.2">
      <c r="H649" s="394"/>
      <c r="I649" s="394"/>
      <c r="J649" s="394"/>
      <c r="K649" s="262"/>
      <c r="L649" s="262"/>
      <c r="M649" s="262"/>
      <c r="N649" s="262"/>
      <c r="O649" s="262"/>
      <c r="P649" s="262"/>
      <c r="Q649" s="262"/>
    </row>
    <row r="650" spans="8:17" s="263" customFormat="1" x14ac:dyDescent="0.2">
      <c r="H650" s="394"/>
      <c r="I650" s="394"/>
      <c r="J650" s="394"/>
      <c r="K650" s="262"/>
      <c r="L650" s="262"/>
      <c r="M650" s="262"/>
      <c r="N650" s="262"/>
      <c r="O650" s="262"/>
      <c r="P650" s="262"/>
      <c r="Q650" s="262"/>
    </row>
    <row r="651" spans="8:17" s="263" customFormat="1" x14ac:dyDescent="0.2">
      <c r="H651" s="394"/>
      <c r="I651" s="394"/>
      <c r="J651" s="394"/>
      <c r="K651" s="262"/>
      <c r="L651" s="262"/>
      <c r="M651" s="262"/>
      <c r="N651" s="262"/>
      <c r="O651" s="262"/>
      <c r="P651" s="262"/>
      <c r="Q651" s="262"/>
    </row>
    <row r="652" spans="8:17" s="263" customFormat="1" x14ac:dyDescent="0.2">
      <c r="H652" s="394"/>
      <c r="I652" s="394"/>
      <c r="J652" s="394"/>
      <c r="K652" s="262"/>
      <c r="L652" s="262"/>
      <c r="M652" s="262"/>
      <c r="N652" s="262"/>
      <c r="O652" s="262"/>
      <c r="P652" s="262"/>
      <c r="Q652" s="262"/>
    </row>
    <row r="653" spans="8:17" s="263" customFormat="1" x14ac:dyDescent="0.2">
      <c r="H653" s="394"/>
      <c r="I653" s="394"/>
      <c r="J653" s="394"/>
      <c r="K653" s="262"/>
      <c r="L653" s="262"/>
      <c r="M653" s="262"/>
      <c r="N653" s="262"/>
      <c r="O653" s="262"/>
      <c r="P653" s="262"/>
      <c r="Q653" s="262"/>
    </row>
    <row r="654" spans="8:17" s="263" customFormat="1" x14ac:dyDescent="0.2">
      <c r="H654" s="394"/>
      <c r="I654" s="394"/>
      <c r="J654" s="394"/>
      <c r="K654" s="262"/>
      <c r="L654" s="262"/>
      <c r="M654" s="262"/>
      <c r="N654" s="262"/>
      <c r="O654" s="262"/>
      <c r="P654" s="262"/>
      <c r="Q654" s="262"/>
    </row>
    <row r="655" spans="8:17" s="263" customFormat="1" x14ac:dyDescent="0.2">
      <c r="H655" s="394"/>
      <c r="I655" s="394"/>
      <c r="J655" s="394"/>
      <c r="K655" s="262"/>
      <c r="L655" s="262"/>
      <c r="M655" s="262"/>
      <c r="N655" s="262"/>
      <c r="O655" s="262"/>
      <c r="P655" s="262"/>
      <c r="Q655" s="262"/>
    </row>
    <row r="656" spans="8:17" s="263" customFormat="1" x14ac:dyDescent="0.2">
      <c r="H656" s="394"/>
      <c r="I656" s="394"/>
      <c r="J656" s="394"/>
      <c r="K656" s="262"/>
      <c r="L656" s="262"/>
      <c r="M656" s="262"/>
      <c r="N656" s="262"/>
      <c r="O656" s="262"/>
      <c r="P656" s="262"/>
      <c r="Q656" s="262"/>
    </row>
    <row r="657" spans="8:17" s="263" customFormat="1" x14ac:dyDescent="0.2">
      <c r="H657" s="394"/>
      <c r="I657" s="394"/>
      <c r="J657" s="394"/>
      <c r="K657" s="262"/>
      <c r="L657" s="262"/>
      <c r="M657" s="262"/>
      <c r="N657" s="262"/>
      <c r="O657" s="262"/>
      <c r="P657" s="262"/>
      <c r="Q657" s="262"/>
    </row>
    <row r="658" spans="8:17" s="263" customFormat="1" x14ac:dyDescent="0.2">
      <c r="H658" s="394"/>
      <c r="I658" s="394"/>
      <c r="J658" s="394"/>
      <c r="K658" s="262"/>
      <c r="L658" s="262"/>
      <c r="M658" s="262"/>
      <c r="N658" s="262"/>
      <c r="O658" s="262"/>
      <c r="P658" s="262"/>
      <c r="Q658" s="262"/>
    </row>
    <row r="659" spans="8:17" s="263" customFormat="1" x14ac:dyDescent="0.2">
      <c r="H659" s="394"/>
      <c r="I659" s="394"/>
      <c r="J659" s="394"/>
      <c r="K659" s="262"/>
      <c r="L659" s="262"/>
      <c r="M659" s="262"/>
      <c r="N659" s="262"/>
      <c r="O659" s="262"/>
      <c r="P659" s="262"/>
      <c r="Q659" s="262"/>
    </row>
    <row r="660" spans="8:17" s="263" customFormat="1" x14ac:dyDescent="0.2">
      <c r="H660" s="394"/>
      <c r="I660" s="394"/>
      <c r="J660" s="394"/>
      <c r="K660" s="262"/>
      <c r="L660" s="262"/>
      <c r="M660" s="262"/>
      <c r="N660" s="262"/>
      <c r="O660" s="262"/>
      <c r="P660" s="262"/>
      <c r="Q660" s="262"/>
    </row>
    <row r="661" spans="8:17" s="263" customFormat="1" x14ac:dyDescent="0.2">
      <c r="H661" s="394"/>
      <c r="I661" s="394"/>
      <c r="J661" s="394"/>
      <c r="K661" s="262"/>
      <c r="L661" s="262"/>
      <c r="M661" s="262"/>
      <c r="N661" s="262"/>
      <c r="O661" s="262"/>
      <c r="P661" s="262"/>
      <c r="Q661" s="262"/>
    </row>
    <row r="662" spans="8:17" s="263" customFormat="1" x14ac:dyDescent="0.2">
      <c r="H662" s="394"/>
      <c r="I662" s="394"/>
      <c r="J662" s="394"/>
      <c r="K662" s="262"/>
      <c r="L662" s="262"/>
      <c r="M662" s="262"/>
      <c r="N662" s="262"/>
      <c r="O662" s="262"/>
      <c r="P662" s="262"/>
      <c r="Q662" s="262"/>
    </row>
    <row r="663" spans="8:17" s="263" customFormat="1" x14ac:dyDescent="0.2">
      <c r="H663" s="394"/>
      <c r="I663" s="394"/>
      <c r="J663" s="394"/>
      <c r="K663" s="262"/>
      <c r="L663" s="262"/>
      <c r="M663" s="262"/>
      <c r="N663" s="262"/>
      <c r="O663" s="262"/>
      <c r="P663" s="262"/>
      <c r="Q663" s="262"/>
    </row>
    <row r="664" spans="8:17" s="263" customFormat="1" x14ac:dyDescent="0.2">
      <c r="H664" s="394"/>
      <c r="I664" s="394"/>
      <c r="J664" s="394"/>
      <c r="K664" s="262"/>
      <c r="L664" s="262"/>
      <c r="M664" s="262"/>
      <c r="N664" s="262"/>
      <c r="O664" s="262"/>
      <c r="P664" s="262"/>
      <c r="Q664" s="262"/>
    </row>
    <row r="665" spans="8:17" s="263" customFormat="1" x14ac:dyDescent="0.2">
      <c r="H665" s="394"/>
      <c r="I665" s="394"/>
      <c r="J665" s="394"/>
      <c r="K665" s="262"/>
      <c r="L665" s="262"/>
      <c r="M665" s="262"/>
      <c r="N665" s="262"/>
      <c r="O665" s="262"/>
      <c r="P665" s="262"/>
      <c r="Q665" s="262"/>
    </row>
    <row r="666" spans="8:17" s="263" customFormat="1" x14ac:dyDescent="0.2">
      <c r="H666" s="394"/>
      <c r="I666" s="394"/>
      <c r="J666" s="394"/>
      <c r="K666" s="262"/>
      <c r="L666" s="262"/>
      <c r="M666" s="262"/>
      <c r="N666" s="262"/>
      <c r="O666" s="262"/>
      <c r="P666" s="262"/>
      <c r="Q666" s="262"/>
    </row>
    <row r="667" spans="8:17" s="263" customFormat="1" x14ac:dyDescent="0.2">
      <c r="H667" s="394"/>
      <c r="I667" s="394"/>
      <c r="J667" s="394"/>
      <c r="K667" s="262"/>
      <c r="L667" s="262"/>
      <c r="M667" s="262"/>
      <c r="N667" s="262"/>
      <c r="O667" s="262"/>
      <c r="P667" s="262"/>
      <c r="Q667" s="262"/>
    </row>
    <row r="668" spans="8:17" s="263" customFormat="1" x14ac:dyDescent="0.2">
      <c r="H668" s="394"/>
      <c r="I668" s="394"/>
      <c r="J668" s="394"/>
      <c r="K668" s="262"/>
      <c r="L668" s="262"/>
      <c r="M668" s="262"/>
      <c r="N668" s="262"/>
      <c r="O668" s="262"/>
      <c r="P668" s="262"/>
      <c r="Q668" s="262"/>
    </row>
    <row r="669" spans="8:17" s="263" customFormat="1" x14ac:dyDescent="0.2">
      <c r="H669" s="394"/>
      <c r="I669" s="394"/>
      <c r="J669" s="394"/>
      <c r="K669" s="262"/>
      <c r="L669" s="262"/>
      <c r="M669" s="262"/>
      <c r="N669" s="262"/>
      <c r="O669" s="262"/>
      <c r="P669" s="262"/>
      <c r="Q669" s="262"/>
    </row>
    <row r="670" spans="8:17" s="263" customFormat="1" x14ac:dyDescent="0.2">
      <c r="H670" s="394"/>
      <c r="I670" s="394"/>
      <c r="J670" s="394"/>
      <c r="K670" s="262"/>
      <c r="L670" s="262"/>
      <c r="M670" s="262"/>
      <c r="N670" s="262"/>
      <c r="O670" s="262"/>
      <c r="P670" s="262"/>
      <c r="Q670" s="262"/>
    </row>
    <row r="671" spans="8:17" s="263" customFormat="1" x14ac:dyDescent="0.2">
      <c r="H671" s="394"/>
      <c r="I671" s="394"/>
      <c r="J671" s="394"/>
      <c r="K671" s="262"/>
      <c r="L671" s="262"/>
      <c r="M671" s="262"/>
      <c r="N671" s="262"/>
      <c r="O671" s="262"/>
      <c r="P671" s="262"/>
      <c r="Q671" s="262"/>
    </row>
    <row r="672" spans="8:17" s="263" customFormat="1" x14ac:dyDescent="0.2">
      <c r="H672" s="394"/>
      <c r="I672" s="394"/>
      <c r="J672" s="394"/>
      <c r="K672" s="262"/>
      <c r="L672" s="262"/>
      <c r="M672" s="262"/>
      <c r="N672" s="262"/>
      <c r="O672" s="262"/>
      <c r="P672" s="262"/>
      <c r="Q672" s="262"/>
    </row>
    <row r="673" spans="8:17" s="263" customFormat="1" x14ac:dyDescent="0.2">
      <c r="H673" s="394"/>
      <c r="I673" s="394"/>
      <c r="J673" s="394"/>
      <c r="K673" s="262"/>
      <c r="L673" s="262"/>
      <c r="M673" s="262"/>
      <c r="N673" s="262"/>
      <c r="O673" s="262"/>
      <c r="P673" s="262"/>
      <c r="Q673" s="262"/>
    </row>
    <row r="674" spans="8:17" s="263" customFormat="1" x14ac:dyDescent="0.2">
      <c r="H674" s="394"/>
      <c r="I674" s="394"/>
      <c r="J674" s="394"/>
      <c r="K674" s="262"/>
      <c r="L674" s="262"/>
      <c r="M674" s="262"/>
      <c r="N674" s="262"/>
      <c r="O674" s="262"/>
      <c r="P674" s="262"/>
      <c r="Q674" s="262"/>
    </row>
    <row r="675" spans="8:17" s="263" customFormat="1" x14ac:dyDescent="0.2">
      <c r="H675" s="394"/>
      <c r="I675" s="394"/>
      <c r="J675" s="394"/>
      <c r="K675" s="262"/>
      <c r="L675" s="262"/>
      <c r="M675" s="262"/>
      <c r="N675" s="262"/>
      <c r="O675" s="262"/>
      <c r="P675" s="262"/>
      <c r="Q675" s="262"/>
    </row>
    <row r="676" spans="8:17" s="263" customFormat="1" x14ac:dyDescent="0.2">
      <c r="H676" s="394"/>
      <c r="I676" s="394"/>
      <c r="J676" s="394"/>
      <c r="K676" s="262"/>
      <c r="L676" s="262"/>
      <c r="M676" s="262"/>
      <c r="N676" s="262"/>
      <c r="O676" s="262"/>
      <c r="P676" s="262"/>
      <c r="Q676" s="262"/>
    </row>
    <row r="677" spans="8:17" s="263" customFormat="1" x14ac:dyDescent="0.2">
      <c r="H677" s="394"/>
      <c r="I677" s="394"/>
      <c r="J677" s="394"/>
      <c r="K677" s="262"/>
      <c r="L677" s="262"/>
      <c r="M677" s="262"/>
      <c r="N677" s="262"/>
      <c r="O677" s="262"/>
      <c r="P677" s="262"/>
      <c r="Q677" s="262"/>
    </row>
    <row r="678" spans="8:17" s="263" customFormat="1" x14ac:dyDescent="0.2">
      <c r="H678" s="394"/>
      <c r="I678" s="394"/>
      <c r="J678" s="394"/>
      <c r="K678" s="262"/>
      <c r="L678" s="262"/>
      <c r="M678" s="262"/>
      <c r="N678" s="262"/>
      <c r="O678" s="262"/>
      <c r="P678" s="262"/>
      <c r="Q678" s="262"/>
    </row>
    <row r="679" spans="8:17" s="263" customFormat="1" x14ac:dyDescent="0.2">
      <c r="H679" s="394"/>
      <c r="I679" s="394"/>
      <c r="J679" s="394"/>
      <c r="K679" s="262"/>
      <c r="L679" s="262"/>
      <c r="M679" s="262"/>
      <c r="N679" s="262"/>
      <c r="O679" s="262"/>
      <c r="P679" s="262"/>
      <c r="Q679" s="262"/>
    </row>
    <row r="680" spans="8:17" s="263" customFormat="1" x14ac:dyDescent="0.2">
      <c r="H680" s="394"/>
      <c r="I680" s="394"/>
      <c r="J680" s="394"/>
      <c r="K680" s="262"/>
      <c r="L680" s="262"/>
      <c r="M680" s="262"/>
      <c r="N680" s="262"/>
      <c r="O680" s="262"/>
      <c r="P680" s="262"/>
      <c r="Q680" s="262"/>
    </row>
    <row r="681" spans="8:17" s="263" customFormat="1" x14ac:dyDescent="0.2">
      <c r="H681" s="394"/>
      <c r="I681" s="394"/>
      <c r="J681" s="394"/>
      <c r="K681" s="262"/>
      <c r="L681" s="262"/>
      <c r="M681" s="262"/>
      <c r="N681" s="262"/>
      <c r="O681" s="262"/>
      <c r="P681" s="262"/>
      <c r="Q681" s="262"/>
    </row>
    <row r="682" spans="8:17" s="263" customFormat="1" x14ac:dyDescent="0.2">
      <c r="H682" s="394"/>
      <c r="I682" s="394"/>
      <c r="J682" s="394"/>
      <c r="K682" s="262"/>
      <c r="L682" s="262"/>
      <c r="M682" s="262"/>
      <c r="N682" s="262"/>
      <c r="O682" s="262"/>
      <c r="P682" s="262"/>
      <c r="Q682" s="262"/>
    </row>
    <row r="683" spans="8:17" s="263" customFormat="1" x14ac:dyDescent="0.2">
      <c r="H683" s="394"/>
      <c r="I683" s="394"/>
      <c r="J683" s="394"/>
      <c r="K683" s="262"/>
      <c r="L683" s="262"/>
      <c r="M683" s="262"/>
      <c r="N683" s="262"/>
      <c r="O683" s="262"/>
      <c r="P683" s="262"/>
      <c r="Q683" s="262"/>
    </row>
    <row r="684" spans="8:17" s="263" customFormat="1" x14ac:dyDescent="0.2">
      <c r="H684" s="394"/>
      <c r="I684" s="394"/>
      <c r="J684" s="394"/>
      <c r="K684" s="262"/>
      <c r="L684" s="262"/>
      <c r="M684" s="262"/>
      <c r="N684" s="262"/>
      <c r="O684" s="262"/>
      <c r="P684" s="262"/>
      <c r="Q684" s="262"/>
    </row>
    <row r="685" spans="8:17" s="263" customFormat="1" x14ac:dyDescent="0.2">
      <c r="H685" s="394"/>
      <c r="I685" s="394"/>
      <c r="J685" s="394"/>
      <c r="K685" s="262"/>
      <c r="L685" s="262"/>
      <c r="M685" s="262"/>
      <c r="N685" s="262"/>
      <c r="O685" s="262"/>
      <c r="P685" s="262"/>
      <c r="Q685" s="262"/>
    </row>
    <row r="686" spans="8:17" s="263" customFormat="1" x14ac:dyDescent="0.2">
      <c r="H686" s="394"/>
      <c r="I686" s="394"/>
      <c r="J686" s="394"/>
      <c r="K686" s="262"/>
      <c r="L686" s="262"/>
      <c r="M686" s="262"/>
      <c r="N686" s="262"/>
      <c r="O686" s="262"/>
      <c r="P686" s="262"/>
      <c r="Q686" s="262"/>
    </row>
    <row r="687" spans="8:17" s="263" customFormat="1" x14ac:dyDescent="0.2">
      <c r="H687" s="394"/>
      <c r="I687" s="394"/>
      <c r="J687" s="394"/>
      <c r="K687" s="262"/>
      <c r="L687" s="262"/>
      <c r="M687" s="262"/>
      <c r="N687" s="262"/>
      <c r="O687" s="262"/>
      <c r="P687" s="262"/>
      <c r="Q687" s="262"/>
    </row>
    <row r="688" spans="8:17" s="263" customFormat="1" x14ac:dyDescent="0.2">
      <c r="H688" s="394"/>
      <c r="I688" s="394"/>
      <c r="J688" s="394"/>
      <c r="K688" s="262"/>
      <c r="L688" s="262"/>
      <c r="M688" s="262"/>
      <c r="N688" s="262"/>
      <c r="O688" s="262"/>
      <c r="P688" s="262"/>
      <c r="Q688" s="262"/>
    </row>
    <row r="689" spans="8:17" s="263" customFormat="1" x14ac:dyDescent="0.2">
      <c r="H689" s="394"/>
      <c r="I689" s="394"/>
      <c r="J689" s="394"/>
      <c r="K689" s="262"/>
      <c r="L689" s="262"/>
      <c r="M689" s="262"/>
      <c r="N689" s="262"/>
      <c r="O689" s="262"/>
      <c r="P689" s="262"/>
      <c r="Q689" s="262"/>
    </row>
    <row r="690" spans="8:17" s="263" customFormat="1" x14ac:dyDescent="0.2">
      <c r="H690" s="394"/>
      <c r="I690" s="394"/>
      <c r="J690" s="394"/>
      <c r="K690" s="262"/>
      <c r="L690" s="262"/>
      <c r="M690" s="262"/>
      <c r="N690" s="262"/>
      <c r="O690" s="262"/>
      <c r="P690" s="262"/>
      <c r="Q690" s="262"/>
    </row>
    <row r="691" spans="8:17" s="263" customFormat="1" x14ac:dyDescent="0.2">
      <c r="H691" s="394"/>
      <c r="I691" s="394"/>
      <c r="J691" s="394"/>
      <c r="K691" s="262"/>
      <c r="L691" s="262"/>
      <c r="M691" s="262"/>
      <c r="N691" s="262"/>
      <c r="O691" s="262"/>
      <c r="P691" s="262"/>
      <c r="Q691" s="262"/>
    </row>
    <row r="692" spans="8:17" s="263" customFormat="1" x14ac:dyDescent="0.2">
      <c r="H692" s="394"/>
      <c r="I692" s="394"/>
      <c r="J692" s="394"/>
      <c r="K692" s="262"/>
      <c r="L692" s="262"/>
      <c r="M692" s="262"/>
      <c r="N692" s="262"/>
      <c r="O692" s="262"/>
      <c r="P692" s="262"/>
      <c r="Q692" s="262"/>
    </row>
    <row r="693" spans="8:17" s="263" customFormat="1" x14ac:dyDescent="0.2">
      <c r="H693" s="394"/>
      <c r="I693" s="394"/>
      <c r="J693" s="394"/>
      <c r="K693" s="262"/>
      <c r="L693" s="262"/>
      <c r="M693" s="262"/>
      <c r="N693" s="262"/>
      <c r="O693" s="262"/>
      <c r="P693" s="262"/>
      <c r="Q693" s="262"/>
    </row>
    <row r="694" spans="8:17" s="263" customFormat="1" x14ac:dyDescent="0.2">
      <c r="H694" s="394"/>
      <c r="I694" s="394"/>
      <c r="J694" s="394"/>
      <c r="K694" s="262"/>
      <c r="L694" s="262"/>
      <c r="M694" s="262"/>
      <c r="N694" s="262"/>
      <c r="O694" s="262"/>
      <c r="P694" s="262"/>
      <c r="Q694" s="262"/>
    </row>
    <row r="695" spans="8:17" s="263" customFormat="1" x14ac:dyDescent="0.2">
      <c r="H695" s="394"/>
      <c r="I695" s="394"/>
      <c r="J695" s="394"/>
      <c r="K695" s="262"/>
      <c r="L695" s="262"/>
      <c r="M695" s="262"/>
      <c r="N695" s="262"/>
      <c r="O695" s="262"/>
      <c r="P695" s="262"/>
      <c r="Q695" s="262"/>
    </row>
    <row r="696" spans="8:17" s="263" customFormat="1" x14ac:dyDescent="0.2">
      <c r="H696" s="394"/>
      <c r="I696" s="394"/>
      <c r="J696" s="394"/>
      <c r="K696" s="262"/>
      <c r="L696" s="262"/>
      <c r="M696" s="262"/>
      <c r="N696" s="262"/>
      <c r="O696" s="262"/>
      <c r="P696" s="262"/>
      <c r="Q696" s="262"/>
    </row>
    <row r="697" spans="8:17" s="263" customFormat="1" x14ac:dyDescent="0.2">
      <c r="H697" s="394"/>
      <c r="I697" s="394"/>
      <c r="J697" s="394"/>
      <c r="K697" s="262"/>
      <c r="L697" s="262"/>
      <c r="M697" s="262"/>
      <c r="N697" s="262"/>
      <c r="O697" s="262"/>
      <c r="P697" s="262"/>
      <c r="Q697" s="262"/>
    </row>
    <row r="698" spans="8:17" s="263" customFormat="1" x14ac:dyDescent="0.2">
      <c r="H698" s="394"/>
      <c r="I698" s="394"/>
      <c r="J698" s="394"/>
      <c r="K698" s="262"/>
      <c r="L698" s="262"/>
      <c r="M698" s="262"/>
      <c r="N698" s="262"/>
      <c r="O698" s="262"/>
      <c r="P698" s="262"/>
      <c r="Q698" s="262"/>
    </row>
    <row r="699" spans="8:17" s="263" customFormat="1" x14ac:dyDescent="0.2">
      <c r="H699" s="394"/>
      <c r="I699" s="394"/>
      <c r="J699" s="394"/>
      <c r="K699" s="262"/>
      <c r="L699" s="262"/>
      <c r="M699" s="262"/>
      <c r="N699" s="262"/>
      <c r="O699" s="262"/>
      <c r="P699" s="262"/>
      <c r="Q699" s="262"/>
    </row>
    <row r="700" spans="8:17" s="263" customFormat="1" x14ac:dyDescent="0.2">
      <c r="H700" s="394"/>
      <c r="I700" s="394"/>
      <c r="J700" s="394"/>
      <c r="K700" s="262"/>
      <c r="L700" s="262"/>
      <c r="M700" s="262"/>
      <c r="N700" s="262"/>
      <c r="O700" s="262"/>
      <c r="P700" s="262"/>
      <c r="Q700" s="262"/>
    </row>
    <row r="701" spans="8:17" s="263" customFormat="1" x14ac:dyDescent="0.2">
      <c r="H701" s="394"/>
      <c r="I701" s="394"/>
      <c r="J701" s="394"/>
      <c r="K701" s="262"/>
      <c r="L701" s="262"/>
      <c r="M701" s="262"/>
      <c r="N701" s="262"/>
      <c r="O701" s="262"/>
      <c r="P701" s="262"/>
      <c r="Q701" s="262"/>
    </row>
    <row r="702" spans="8:17" s="263" customFormat="1" x14ac:dyDescent="0.2">
      <c r="H702" s="394"/>
      <c r="I702" s="394"/>
      <c r="J702" s="394"/>
      <c r="K702" s="262"/>
      <c r="L702" s="262"/>
      <c r="M702" s="262"/>
      <c r="N702" s="262"/>
      <c r="O702" s="262"/>
      <c r="P702" s="262"/>
      <c r="Q702" s="262"/>
    </row>
    <row r="703" spans="8:17" s="263" customFormat="1" x14ac:dyDescent="0.2">
      <c r="H703" s="394"/>
      <c r="I703" s="394"/>
      <c r="J703" s="394"/>
      <c r="K703" s="262"/>
      <c r="L703" s="262"/>
      <c r="M703" s="262"/>
      <c r="N703" s="262"/>
      <c r="O703" s="262"/>
      <c r="P703" s="262"/>
      <c r="Q703" s="262"/>
    </row>
  </sheetData>
  <sheetProtection password="EF5C" sheet="1" objects="1" scenarios="1"/>
  <mergeCells count="47">
    <mergeCell ref="D39:F39"/>
    <mergeCell ref="D41:F41"/>
    <mergeCell ref="D43:F43"/>
    <mergeCell ref="D116:F116"/>
    <mergeCell ref="B110:G110"/>
    <mergeCell ref="B112:G112"/>
    <mergeCell ref="C114:E114"/>
    <mergeCell ref="D108:F108"/>
    <mergeCell ref="C99:E99"/>
    <mergeCell ref="D82:F82"/>
    <mergeCell ref="B83:B84"/>
    <mergeCell ref="D45:F45"/>
    <mergeCell ref="B50:H50"/>
    <mergeCell ref="D11:D14"/>
    <mergeCell ref="D33:F33"/>
    <mergeCell ref="D35:F35"/>
    <mergeCell ref="B27:H27"/>
    <mergeCell ref="D37:F37"/>
    <mergeCell ref="C1:F1"/>
    <mergeCell ref="C104:E104"/>
    <mergeCell ref="B4:D4"/>
    <mergeCell ref="C6:E6"/>
    <mergeCell ref="C7:E8"/>
    <mergeCell ref="C29:E30"/>
    <mergeCell ref="D101:F101"/>
    <mergeCell ref="D88:F88"/>
    <mergeCell ref="D90:F90"/>
    <mergeCell ref="D92:F92"/>
    <mergeCell ref="D94:F94"/>
    <mergeCell ref="D96:F96"/>
    <mergeCell ref="B69:B76"/>
    <mergeCell ref="B60:B62"/>
    <mergeCell ref="B5:D5"/>
    <mergeCell ref="B10:C10"/>
    <mergeCell ref="C119:H119"/>
    <mergeCell ref="C142:H142"/>
    <mergeCell ref="I110:J110"/>
    <mergeCell ref="I112:J112"/>
    <mergeCell ref="C44:F44"/>
    <mergeCell ref="D46:F46"/>
    <mergeCell ref="D80:F80"/>
    <mergeCell ref="D106:F106"/>
    <mergeCell ref="D49:F49"/>
    <mergeCell ref="D78:F78"/>
    <mergeCell ref="B64:H64"/>
    <mergeCell ref="C55:E56"/>
    <mergeCell ref="B53:D53"/>
  </mergeCells>
  <dataValidations count="2">
    <dataValidation type="list" allowBlank="1" showInputMessage="1" showErrorMessage="1" sqref="D16:D18 D20 D23:D25">
      <formula1>"Select…,per hour,per child,lump sum"</formula1>
    </dataValidation>
    <dataValidation type="decimal" operator="greaterThanOrEqual" allowBlank="1" showInputMessage="1" showErrorMessage="1" errorTitle="Error" error="Thisfigure cannot be negative. Please provide a positive unit value." sqref="F131:G131 F127:G127 F146:G146 F144:G144 F121:G121 F123:G123 F125:G125 F129:G129 F135:G135 F133:G133 F148:G148">
      <formula1>0</formula1>
    </dataValidation>
  </dataValidations>
  <printOptions horizontalCentered="1"/>
  <pageMargins left="0.23622047244094491" right="0.23622047244094491" top="0.55118110236220474" bottom="0.35433070866141736" header="0.31496062992125984" footer="0.31496062992125984"/>
  <pageSetup paperSize="9" scale="44" fitToHeight="0" orientation="portrait" r:id="rId1"/>
  <headerFooter alignWithMargins="0">
    <oddHeader>&amp;A</oddHeader>
    <oddFooter>&amp;Z&amp;F</oddFooter>
  </headerFooter>
  <rowBreaks count="2" manualBreakCount="2">
    <brk id="51" min="1" max="9" man="1"/>
    <brk id="118" min="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'School &amp; Nursery Setting Lookup'!$A:$A</xm:f>
          </x14:formula1>
          <xm:sqref>B5:D5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L342"/>
  <sheetViews>
    <sheetView workbookViewId="0">
      <pane xSplit="2" ySplit="2" topLeftCell="BQ24" activePane="bottomRight" state="frozen"/>
      <selection activeCell="D102" sqref="D102"/>
      <selection pane="topRight" activeCell="D102" sqref="D102"/>
      <selection pane="bottomLeft" activeCell="D102" sqref="D102"/>
      <selection pane="bottomRight" sqref="A1:CD1048576"/>
    </sheetView>
  </sheetViews>
  <sheetFormatPr defaultRowHeight="12.75" x14ac:dyDescent="0.2"/>
  <cols>
    <col min="1" max="1" width="47.140625" style="968" hidden="1" customWidth="1"/>
    <col min="2" max="2" width="8.7109375" style="969" hidden="1" customWidth="1"/>
    <col min="3" max="3" width="11.85546875" style="970" hidden="1" customWidth="1"/>
    <col min="4" max="4" width="12.140625" style="971" hidden="1" customWidth="1"/>
    <col min="5" max="8" width="0" style="971" hidden="1" customWidth="1"/>
    <col min="9" max="10" width="0" hidden="1" customWidth="1"/>
    <col min="11" max="21" width="0" style="971" hidden="1" customWidth="1"/>
    <col min="22" max="23" width="0" hidden="1" customWidth="1"/>
    <col min="24" max="35" width="0" style="971" hidden="1" customWidth="1"/>
    <col min="36" max="37" width="0" hidden="1" customWidth="1"/>
    <col min="38" max="38" width="0" style="971" hidden="1" customWidth="1"/>
    <col min="39" max="39" width="10.85546875" style="971" hidden="1" customWidth="1"/>
    <col min="40" max="44" width="0" hidden="1" customWidth="1"/>
    <col min="45" max="45" width="0" style="972" hidden="1" customWidth="1"/>
    <col min="46" max="46" width="11.5703125" style="972" hidden="1" customWidth="1"/>
    <col min="47" max="47" width="8.85546875" hidden="1" customWidth="1"/>
    <col min="48" max="48" width="11.5703125" hidden="1" customWidth="1"/>
    <col min="49" max="50" width="0" hidden="1" customWidth="1"/>
    <col min="51" max="51" width="10.140625" hidden="1" customWidth="1"/>
    <col min="52" max="57" width="0" hidden="1" customWidth="1"/>
    <col min="58" max="58" width="11.7109375" hidden="1" customWidth="1"/>
    <col min="59" max="59" width="10.7109375" hidden="1" customWidth="1"/>
    <col min="60" max="62" width="0" hidden="1" customWidth="1"/>
    <col min="63" max="64" width="10" style="1240" hidden="1" customWidth="1"/>
    <col min="65" max="82" width="0" hidden="1" customWidth="1"/>
  </cols>
  <sheetData>
    <row r="1" spans="1:64" x14ac:dyDescent="0.2">
      <c r="V1" s="971"/>
    </row>
    <row r="2" spans="1:64" ht="51" x14ac:dyDescent="0.2">
      <c r="A2" s="973" t="s">
        <v>1000</v>
      </c>
      <c r="B2" s="974" t="s">
        <v>81</v>
      </c>
      <c r="C2" s="975" t="s">
        <v>1001</v>
      </c>
      <c r="D2" s="976" t="s">
        <v>1002</v>
      </c>
      <c r="E2" s="977" t="s">
        <v>1003</v>
      </c>
      <c r="F2" s="977" t="s">
        <v>1004</v>
      </c>
      <c r="G2" s="975" t="s">
        <v>1005</v>
      </c>
      <c r="H2" s="975" t="s">
        <v>1006</v>
      </c>
      <c r="K2" s="978" t="s">
        <v>1007</v>
      </c>
      <c r="L2" s="978" t="s">
        <v>1008</v>
      </c>
      <c r="M2" s="978" t="s">
        <v>1009</v>
      </c>
      <c r="N2" s="978" t="s">
        <v>1010</v>
      </c>
      <c r="O2" s="978" t="s">
        <v>1011</v>
      </c>
      <c r="P2" s="978" t="s">
        <v>1012</v>
      </c>
      <c r="Q2" s="978" t="s">
        <v>1013</v>
      </c>
      <c r="R2" s="978" t="s">
        <v>1014</v>
      </c>
      <c r="S2" s="978" t="s">
        <v>1015</v>
      </c>
      <c r="T2" s="978" t="s">
        <v>1016</v>
      </c>
      <c r="U2" s="978" t="s">
        <v>1017</v>
      </c>
      <c r="V2" s="979" t="s">
        <v>1018</v>
      </c>
      <c r="W2" s="980"/>
      <c r="X2" s="975" t="s">
        <v>1007</v>
      </c>
      <c r="Y2" s="975" t="s">
        <v>1008</v>
      </c>
      <c r="Z2" s="975" t="s">
        <v>1009</v>
      </c>
      <c r="AA2" s="975" t="s">
        <v>1010</v>
      </c>
      <c r="AB2" s="975" t="s">
        <v>1011</v>
      </c>
      <c r="AC2" s="975" t="s">
        <v>1012</v>
      </c>
      <c r="AD2" s="975" t="s">
        <v>1013</v>
      </c>
      <c r="AE2" s="975" t="s">
        <v>1014</v>
      </c>
      <c r="AF2" s="975" t="s">
        <v>1015</v>
      </c>
      <c r="AG2" s="975" t="s">
        <v>1016</v>
      </c>
      <c r="AH2" s="975" t="s">
        <v>1017</v>
      </c>
      <c r="AI2" s="975" t="s">
        <v>1018</v>
      </c>
      <c r="AK2" s="981"/>
      <c r="AL2" s="978" t="s">
        <v>1019</v>
      </c>
      <c r="AM2" s="978" t="s">
        <v>1020</v>
      </c>
      <c r="AO2" s="975" t="s">
        <v>1019</v>
      </c>
      <c r="AP2" s="975" t="s">
        <v>1020</v>
      </c>
      <c r="AS2" s="982" t="s">
        <v>1021</v>
      </c>
      <c r="AT2" s="982" t="s">
        <v>1022</v>
      </c>
      <c r="AU2" s="980" t="s">
        <v>1023</v>
      </c>
      <c r="AV2" s="980" t="s">
        <v>1024</v>
      </c>
      <c r="AW2" s="980"/>
      <c r="AX2" s="983" t="s">
        <v>1021</v>
      </c>
      <c r="AY2" s="983" t="s">
        <v>1022</v>
      </c>
      <c r="BA2" s="984" t="s">
        <v>1025</v>
      </c>
      <c r="BC2" s="985" t="s">
        <v>1026</v>
      </c>
      <c r="BE2" s="986"/>
      <c r="BF2" s="979" t="s">
        <v>1027</v>
      </c>
      <c r="BG2" s="983" t="s">
        <v>1027</v>
      </c>
      <c r="BK2" s="1240" t="s">
        <v>1021</v>
      </c>
      <c r="BL2" s="1240" t="s">
        <v>1022</v>
      </c>
    </row>
    <row r="3" spans="1:64" x14ac:dyDescent="0.2">
      <c r="A3" s="968" t="s">
        <v>10</v>
      </c>
      <c r="B3" s="969">
        <v>2012</v>
      </c>
      <c r="C3" s="970">
        <f>VLOOKUP($B3,AWPU!$B:$L,9,FALSE)</f>
        <v>358</v>
      </c>
      <c r="D3" s="970">
        <f>VLOOKUP(B3,AWPU!B:L,10,FALSE)+VLOOKUP('2015 Factor % to units'!B3,AWPU!B:L,11,FALSE)</f>
        <v>0</v>
      </c>
      <c r="E3" s="971">
        <v>0.66666666666666663</v>
      </c>
      <c r="F3" s="971">
        <v>0</v>
      </c>
      <c r="G3" s="971">
        <f t="shared" ref="G3:H33" si="0">E3*C3</f>
        <v>238.66666666666666</v>
      </c>
      <c r="H3" s="971">
        <f t="shared" si="0"/>
        <v>0</v>
      </c>
      <c r="K3" s="971">
        <v>1.67597765363128E-2</v>
      </c>
      <c r="L3" s="971">
        <v>0</v>
      </c>
      <c r="M3" s="971">
        <v>5.5865921787709499E-3</v>
      </c>
      <c r="N3" s="971">
        <v>0</v>
      </c>
      <c r="O3" s="971">
        <v>4.18994413407821E-2</v>
      </c>
      <c r="P3" s="971">
        <v>0</v>
      </c>
      <c r="Q3" s="971">
        <v>0.39944134078212301</v>
      </c>
      <c r="R3" s="971">
        <v>0</v>
      </c>
      <c r="S3" s="971">
        <v>0.30446927374301702</v>
      </c>
      <c r="T3" s="971">
        <v>0</v>
      </c>
      <c r="U3" s="971">
        <v>0.223463687150838</v>
      </c>
      <c r="V3" s="971">
        <v>0</v>
      </c>
      <c r="X3" s="971">
        <f t="shared" ref="X3:Y33" si="1">K3*C3</f>
        <v>5.9999999999999822</v>
      </c>
      <c r="Y3" s="971">
        <f t="shared" si="1"/>
        <v>0</v>
      </c>
      <c r="Z3" s="971">
        <f t="shared" ref="Z3:AA33" si="2">M3*C3</f>
        <v>2</v>
      </c>
      <c r="AA3" s="971">
        <f t="shared" si="2"/>
        <v>0</v>
      </c>
      <c r="AB3" s="971">
        <f t="shared" ref="AB3:AC33" si="3">O3*C3</f>
        <v>14.999999999999991</v>
      </c>
      <c r="AC3" s="971">
        <f t="shared" si="3"/>
        <v>0</v>
      </c>
      <c r="AD3" s="971">
        <f t="shared" ref="AD3:AE33" si="4">Q3*C3</f>
        <v>143.00000000000003</v>
      </c>
      <c r="AE3" s="971">
        <f t="shared" si="4"/>
        <v>0</v>
      </c>
      <c r="AF3" s="971">
        <f t="shared" ref="AF3:AG33" si="5">S3*C3</f>
        <v>109.0000000000001</v>
      </c>
      <c r="AG3" s="971">
        <f t="shared" si="5"/>
        <v>0</v>
      </c>
      <c r="AH3" s="971">
        <f t="shared" ref="AH3:AI33" si="6">U3*C3</f>
        <v>80</v>
      </c>
      <c r="AI3" s="971">
        <f t="shared" si="6"/>
        <v>0</v>
      </c>
      <c r="AL3" s="971">
        <v>0.19141914191419099</v>
      </c>
      <c r="AM3" s="971">
        <v>0</v>
      </c>
      <c r="AO3">
        <f t="shared" ref="AO3:AP33" si="7">AL3*C3</f>
        <v>68.528052805280367</v>
      </c>
      <c r="AP3">
        <f t="shared" si="7"/>
        <v>0</v>
      </c>
      <c r="AS3" s="972">
        <v>0.17597765363128501</v>
      </c>
      <c r="AT3" s="972">
        <v>0</v>
      </c>
      <c r="AU3" s="972">
        <f>AS3-10%</f>
        <v>7.5977653631285003E-2</v>
      </c>
      <c r="AV3" s="987">
        <f>AT3-10%</f>
        <v>-0.1</v>
      </c>
      <c r="AX3">
        <f>IF(AU3&gt;0,AU3*C3,0)</f>
        <v>27.200000000000031</v>
      </c>
      <c r="AY3">
        <f>IF(AV3&gt;0,AV3*D3,0)</f>
        <v>0</v>
      </c>
      <c r="BA3" s="971">
        <v>3.0581039755351682E-3</v>
      </c>
      <c r="BC3">
        <f>BA3*C3</f>
        <v>1.0948012232415902</v>
      </c>
      <c r="BF3">
        <v>0</v>
      </c>
      <c r="BG3" s="971"/>
      <c r="BK3" s="1240">
        <v>0.17597765363128501</v>
      </c>
      <c r="BL3" s="1240">
        <v>0</v>
      </c>
    </row>
    <row r="4" spans="1:64" x14ac:dyDescent="0.2">
      <c r="A4" s="968" t="s">
        <v>11</v>
      </c>
      <c r="B4" s="969">
        <v>2443</v>
      </c>
      <c r="C4" s="970">
        <f>VLOOKUP($B4,AWPU!$B:$L,9,FALSE)</f>
        <v>255</v>
      </c>
      <c r="D4" s="970">
        <f>VLOOKUP(B4,AWPU!B:L,10,FALSE)+VLOOKUP('2015 Factor % to units'!B4,AWPU!B:L,11,FALSE)</f>
        <v>0</v>
      </c>
      <c r="E4" s="971">
        <v>0.26254826254826252</v>
      </c>
      <c r="F4" s="971">
        <v>0</v>
      </c>
      <c r="G4" s="971">
        <f t="shared" si="0"/>
        <v>66.949806949806941</v>
      </c>
      <c r="H4" s="971">
        <f t="shared" si="0"/>
        <v>0</v>
      </c>
      <c r="K4" s="971">
        <v>0.13725490196078399</v>
      </c>
      <c r="L4" s="971">
        <v>0</v>
      </c>
      <c r="M4" s="971">
        <v>2.7450980392156901E-2</v>
      </c>
      <c r="N4" s="971">
        <v>0</v>
      </c>
      <c r="O4" s="971">
        <v>0.12549019607843101</v>
      </c>
      <c r="P4" s="971">
        <v>0</v>
      </c>
      <c r="Q4" s="971">
        <v>0.16078431372549001</v>
      </c>
      <c r="R4" s="971">
        <v>0</v>
      </c>
      <c r="S4" s="971">
        <v>0.113725490196078</v>
      </c>
      <c r="T4" s="971">
        <v>0</v>
      </c>
      <c r="U4" s="971">
        <v>1.5686274509803901E-2</v>
      </c>
      <c r="V4" s="971">
        <v>0</v>
      </c>
      <c r="X4" s="971">
        <f t="shared" si="1"/>
        <v>34.999999999999915</v>
      </c>
      <c r="Y4" s="971">
        <f t="shared" si="1"/>
        <v>0</v>
      </c>
      <c r="Z4" s="971">
        <f t="shared" si="2"/>
        <v>7.0000000000000098</v>
      </c>
      <c r="AA4" s="971">
        <f t="shared" si="2"/>
        <v>0</v>
      </c>
      <c r="AB4" s="971">
        <f t="shared" si="3"/>
        <v>31.999999999999908</v>
      </c>
      <c r="AC4" s="971">
        <f t="shared" si="3"/>
        <v>0</v>
      </c>
      <c r="AD4" s="971">
        <f t="shared" si="4"/>
        <v>40.99999999999995</v>
      </c>
      <c r="AE4" s="971">
        <f t="shared" si="4"/>
        <v>0</v>
      </c>
      <c r="AF4" s="971">
        <f t="shared" si="5"/>
        <v>28.99999999999989</v>
      </c>
      <c r="AG4" s="971">
        <f t="shared" si="5"/>
        <v>0</v>
      </c>
      <c r="AH4" s="971">
        <f t="shared" si="6"/>
        <v>3.9999999999999947</v>
      </c>
      <c r="AI4" s="971">
        <f t="shared" si="6"/>
        <v>0</v>
      </c>
      <c r="AL4" s="971">
        <v>6.0606060606060601E-2</v>
      </c>
      <c r="AM4" s="971">
        <v>0</v>
      </c>
      <c r="AO4">
        <f t="shared" si="7"/>
        <v>15.454545454545453</v>
      </c>
      <c r="AP4">
        <f t="shared" si="7"/>
        <v>0</v>
      </c>
      <c r="AS4" s="972">
        <v>3.9215686274509803E-2</v>
      </c>
      <c r="AT4" s="972">
        <v>0</v>
      </c>
      <c r="AU4" s="972">
        <f t="shared" ref="AU4:AV66" si="8">AS4-10%</f>
        <v>-6.0784313725490202E-2</v>
      </c>
      <c r="AV4" s="987">
        <f t="shared" si="8"/>
        <v>-0.1</v>
      </c>
      <c r="AX4">
        <f t="shared" ref="AX4:AY66" si="9">IF(AU4&gt;0,AU4*C4,0)</f>
        <v>0</v>
      </c>
      <c r="AY4">
        <f t="shared" si="9"/>
        <v>0</v>
      </c>
      <c r="BA4" s="971">
        <v>3.8610038610038611E-3</v>
      </c>
      <c r="BC4">
        <f t="shared" ref="BC4:BC21" si="10">BA4*C4</f>
        <v>0.98455598455598459</v>
      </c>
      <c r="BF4">
        <v>0</v>
      </c>
      <c r="BG4" s="971"/>
      <c r="BK4" s="1240">
        <v>3.9215686274509803E-2</v>
      </c>
      <c r="BL4" s="1240">
        <v>0</v>
      </c>
    </row>
    <row r="5" spans="1:64" x14ac:dyDescent="0.2">
      <c r="A5" s="968" t="s">
        <v>94</v>
      </c>
      <c r="B5" s="969">
        <v>2442</v>
      </c>
      <c r="C5" s="970">
        <f>VLOOKUP($B5,AWPU!$B:$L,9,FALSE)</f>
        <v>309</v>
      </c>
      <c r="D5" s="970">
        <f>VLOOKUP(B5,AWPU!B:L,10,FALSE)+VLOOKUP('2015 Factor % to units'!B5,AWPU!B:L,11,FALSE)</f>
        <v>0</v>
      </c>
      <c r="E5" s="971">
        <v>0.4</v>
      </c>
      <c r="F5" s="971">
        <v>0</v>
      </c>
      <c r="G5" s="971">
        <f t="shared" si="0"/>
        <v>123.60000000000001</v>
      </c>
      <c r="H5" s="971">
        <f t="shared" si="0"/>
        <v>0</v>
      </c>
      <c r="K5" s="971">
        <v>0.137071651090343</v>
      </c>
      <c r="L5" s="971">
        <v>0</v>
      </c>
      <c r="M5" s="971">
        <v>3.7383177570093497E-2</v>
      </c>
      <c r="N5" s="971">
        <v>0</v>
      </c>
      <c r="O5" s="971">
        <v>9.34579439252336E-2</v>
      </c>
      <c r="P5" s="971">
        <v>0</v>
      </c>
      <c r="Q5" s="971">
        <v>0.20560747663551401</v>
      </c>
      <c r="R5" s="971">
        <v>0</v>
      </c>
      <c r="S5" s="971">
        <v>0.105919003115265</v>
      </c>
      <c r="T5" s="971">
        <v>0</v>
      </c>
      <c r="U5" s="971">
        <v>1.5576323987538899E-2</v>
      </c>
      <c r="V5" s="971">
        <v>0</v>
      </c>
      <c r="X5" s="971">
        <f t="shared" si="1"/>
        <v>42.355140186915989</v>
      </c>
      <c r="Y5" s="971">
        <f t="shared" si="1"/>
        <v>0</v>
      </c>
      <c r="Z5" s="971">
        <f t="shared" si="2"/>
        <v>11.551401869158891</v>
      </c>
      <c r="AA5" s="971">
        <f t="shared" si="2"/>
        <v>0</v>
      </c>
      <c r="AB5" s="971">
        <f t="shared" si="3"/>
        <v>28.878504672897183</v>
      </c>
      <c r="AC5" s="971">
        <f t="shared" si="3"/>
        <v>0</v>
      </c>
      <c r="AD5" s="971">
        <f t="shared" si="4"/>
        <v>63.532710280373827</v>
      </c>
      <c r="AE5" s="971">
        <f t="shared" si="4"/>
        <v>0</v>
      </c>
      <c r="AF5" s="971">
        <f t="shared" si="5"/>
        <v>32.728971962616889</v>
      </c>
      <c r="AG5" s="971">
        <f t="shared" si="5"/>
        <v>0</v>
      </c>
      <c r="AH5" s="971">
        <f t="shared" si="6"/>
        <v>4.8130841121495198</v>
      </c>
      <c r="AI5" s="971">
        <f t="shared" si="6"/>
        <v>0</v>
      </c>
      <c r="AL5" s="971">
        <v>9.8684210526315801E-3</v>
      </c>
      <c r="AM5" s="971">
        <v>0</v>
      </c>
      <c r="AO5">
        <f t="shared" si="7"/>
        <v>3.0493421052631584</v>
      </c>
      <c r="AP5">
        <f t="shared" si="7"/>
        <v>0</v>
      </c>
      <c r="AS5" s="972">
        <v>6.2305295950155798E-2</v>
      </c>
      <c r="AT5" s="972">
        <v>0</v>
      </c>
      <c r="AU5" s="972">
        <f t="shared" si="8"/>
        <v>-3.7694704049844208E-2</v>
      </c>
      <c r="AV5" s="987">
        <f t="shared" si="8"/>
        <v>-0.1</v>
      </c>
      <c r="AX5">
        <f t="shared" si="9"/>
        <v>0</v>
      </c>
      <c r="AY5">
        <f t="shared" si="9"/>
        <v>0</v>
      </c>
      <c r="BA5" s="971">
        <v>0</v>
      </c>
      <c r="BC5">
        <f t="shared" si="10"/>
        <v>0</v>
      </c>
      <c r="BF5">
        <v>0</v>
      </c>
      <c r="BG5" s="971"/>
      <c r="BK5" s="1240">
        <v>6.2305295950155798E-2</v>
      </c>
      <c r="BL5" s="1240">
        <v>0</v>
      </c>
    </row>
    <row r="6" spans="1:64" x14ac:dyDescent="0.2">
      <c r="A6" s="968" t="s">
        <v>13</v>
      </c>
      <c r="B6" s="969">
        <v>2629</v>
      </c>
      <c r="C6" s="970">
        <f>VLOOKUP($B6,AWPU!$B:$L,9,FALSE)</f>
        <v>431</v>
      </c>
      <c r="D6" s="970">
        <f>VLOOKUP(B6,AWPU!B:L,10,FALSE)+VLOOKUP('2015 Factor % to units'!B6,AWPU!B:L,11,FALSE)</f>
        <v>0</v>
      </c>
      <c r="E6" s="971">
        <v>0.37655860349127179</v>
      </c>
      <c r="F6" s="971">
        <v>0</v>
      </c>
      <c r="G6" s="971">
        <f t="shared" si="0"/>
        <v>162.29675810473813</v>
      </c>
      <c r="H6" s="971">
        <f t="shared" si="0"/>
        <v>0</v>
      </c>
      <c r="K6" s="971">
        <v>2.2935779816513802E-3</v>
      </c>
      <c r="L6" s="971">
        <v>0</v>
      </c>
      <c r="M6" s="971">
        <v>6.6513761467889898E-2</v>
      </c>
      <c r="N6" s="971">
        <v>0</v>
      </c>
      <c r="O6" s="971">
        <v>0.28669724770642202</v>
      </c>
      <c r="P6" s="971">
        <v>0</v>
      </c>
      <c r="Q6" s="971">
        <v>0.46330275229357798</v>
      </c>
      <c r="R6" s="971">
        <v>0</v>
      </c>
      <c r="S6" s="971">
        <v>0.13761467889908299</v>
      </c>
      <c r="T6" s="971">
        <v>0</v>
      </c>
      <c r="U6" s="971">
        <v>2.06422018348624E-2</v>
      </c>
      <c r="V6" s="971">
        <v>0</v>
      </c>
      <c r="X6" s="971">
        <f t="shared" si="1"/>
        <v>0.98853211009174491</v>
      </c>
      <c r="Y6" s="971">
        <f t="shared" si="1"/>
        <v>0</v>
      </c>
      <c r="Z6" s="971">
        <f t="shared" si="2"/>
        <v>28.667431192660548</v>
      </c>
      <c r="AA6" s="971">
        <f t="shared" si="2"/>
        <v>0</v>
      </c>
      <c r="AB6" s="971">
        <f t="shared" si="3"/>
        <v>123.56651376146789</v>
      </c>
      <c r="AC6" s="971">
        <f t="shared" si="3"/>
        <v>0</v>
      </c>
      <c r="AD6" s="971">
        <f t="shared" si="4"/>
        <v>199.68348623853211</v>
      </c>
      <c r="AE6" s="971">
        <f t="shared" si="4"/>
        <v>0</v>
      </c>
      <c r="AF6" s="971">
        <f t="shared" si="5"/>
        <v>59.311926605504773</v>
      </c>
      <c r="AG6" s="971">
        <f t="shared" si="5"/>
        <v>0</v>
      </c>
      <c r="AH6" s="971">
        <f t="shared" si="6"/>
        <v>8.8967889908256943</v>
      </c>
      <c r="AI6" s="971">
        <f t="shared" si="6"/>
        <v>0</v>
      </c>
      <c r="AL6" s="971">
        <v>0.56077348066298305</v>
      </c>
      <c r="AM6" s="971">
        <v>0</v>
      </c>
      <c r="AO6">
        <f t="shared" si="7"/>
        <v>241.6933701657457</v>
      </c>
      <c r="AP6">
        <f t="shared" si="7"/>
        <v>0</v>
      </c>
      <c r="AS6" s="972">
        <v>0.146788990825688</v>
      </c>
      <c r="AT6" s="972">
        <v>0</v>
      </c>
      <c r="AU6" s="972">
        <f t="shared" si="8"/>
        <v>4.6788990825687993E-2</v>
      </c>
      <c r="AV6" s="987">
        <f t="shared" si="8"/>
        <v>-0.1</v>
      </c>
      <c r="AX6">
        <f t="shared" si="9"/>
        <v>20.166055045871524</v>
      </c>
      <c r="AY6">
        <f t="shared" si="9"/>
        <v>0</v>
      </c>
      <c r="BA6" s="971">
        <v>2.4937655860349127E-3</v>
      </c>
      <c r="BC6">
        <f t="shared" si="10"/>
        <v>1.0748129675810474</v>
      </c>
      <c r="BF6">
        <v>0</v>
      </c>
      <c r="BG6" s="971"/>
      <c r="BK6" s="1240">
        <v>0.146788990825688</v>
      </c>
      <c r="BL6" s="1240">
        <v>0</v>
      </c>
    </row>
    <row r="7" spans="1:64" x14ac:dyDescent="0.2">
      <c r="A7" s="968" t="s">
        <v>14</v>
      </c>
      <c r="B7" s="969">
        <v>2509</v>
      </c>
      <c r="C7" s="970">
        <f>VLOOKUP($B7,AWPU!$B:$L,9,FALSE)</f>
        <v>195</v>
      </c>
      <c r="D7" s="970">
        <f>VLOOKUP(B7,AWPU!B:L,10,FALSE)+VLOOKUP('2015 Factor % to units'!B7,AWPU!B:L,11,FALSE)</f>
        <v>0</v>
      </c>
      <c r="E7" s="971">
        <v>0.27692307692307694</v>
      </c>
      <c r="F7" s="971">
        <v>0</v>
      </c>
      <c r="G7" s="971">
        <f t="shared" si="0"/>
        <v>54</v>
      </c>
      <c r="H7" s="971">
        <f t="shared" si="0"/>
        <v>0</v>
      </c>
      <c r="K7" s="971">
        <v>4.1237113402061903E-2</v>
      </c>
      <c r="L7" s="971">
        <v>0</v>
      </c>
      <c r="M7" s="971">
        <v>5.1546391752577301E-3</v>
      </c>
      <c r="N7" s="971">
        <v>0</v>
      </c>
      <c r="O7" s="971">
        <v>0.335051546391753</v>
      </c>
      <c r="P7" s="971">
        <v>0</v>
      </c>
      <c r="Q7" s="971">
        <v>0.12886597938144301</v>
      </c>
      <c r="R7" s="971">
        <v>0</v>
      </c>
      <c r="S7" s="971">
        <v>1.03092783505155E-2</v>
      </c>
      <c r="T7" s="971">
        <v>0</v>
      </c>
      <c r="U7" s="971">
        <v>9.7938144329896906E-2</v>
      </c>
      <c r="V7" s="971">
        <v>0</v>
      </c>
      <c r="X7" s="971">
        <f t="shared" si="1"/>
        <v>8.0412371134020706</v>
      </c>
      <c r="Y7" s="971">
        <f t="shared" si="1"/>
        <v>0</v>
      </c>
      <c r="Z7" s="971">
        <f t="shared" si="2"/>
        <v>1.0051546391752573</v>
      </c>
      <c r="AA7" s="971">
        <f t="shared" si="2"/>
        <v>0</v>
      </c>
      <c r="AB7" s="971">
        <f t="shared" si="3"/>
        <v>65.335051546391838</v>
      </c>
      <c r="AC7" s="971">
        <f t="shared" si="3"/>
        <v>0</v>
      </c>
      <c r="AD7" s="971">
        <f t="shared" si="4"/>
        <v>25.128865979381388</v>
      </c>
      <c r="AE7" s="971">
        <f t="shared" si="4"/>
        <v>0</v>
      </c>
      <c r="AF7" s="971">
        <f t="shared" si="5"/>
        <v>2.0103092783505225</v>
      </c>
      <c r="AG7" s="971">
        <f t="shared" si="5"/>
        <v>0</v>
      </c>
      <c r="AH7" s="971">
        <f t="shared" si="6"/>
        <v>19.097938144329898</v>
      </c>
      <c r="AI7" s="971">
        <f t="shared" si="6"/>
        <v>0</v>
      </c>
      <c r="AL7" s="971">
        <v>0.141891891891892</v>
      </c>
      <c r="AM7" s="971">
        <v>0</v>
      </c>
      <c r="AO7">
        <f t="shared" si="7"/>
        <v>27.668918918918941</v>
      </c>
      <c r="AP7">
        <f t="shared" si="7"/>
        <v>0</v>
      </c>
      <c r="AS7" s="972">
        <v>0.117948717948718</v>
      </c>
      <c r="AT7" s="972">
        <v>0</v>
      </c>
      <c r="AU7" s="972">
        <f t="shared" si="8"/>
        <v>1.7948717948717996E-2</v>
      </c>
      <c r="AV7" s="987">
        <f t="shared" si="8"/>
        <v>-0.1</v>
      </c>
      <c r="AX7">
        <f t="shared" si="9"/>
        <v>3.5000000000000093</v>
      </c>
      <c r="AY7">
        <f t="shared" si="9"/>
        <v>0</v>
      </c>
      <c r="BA7" s="971">
        <v>1.0256410256410256E-2</v>
      </c>
      <c r="BC7">
        <f t="shared" si="10"/>
        <v>2</v>
      </c>
      <c r="BF7">
        <v>0</v>
      </c>
      <c r="BG7" s="971"/>
      <c r="BK7" s="1240">
        <v>0.117948717948718</v>
      </c>
      <c r="BL7" s="1240">
        <v>0</v>
      </c>
    </row>
    <row r="8" spans="1:64" x14ac:dyDescent="0.2">
      <c r="A8" s="968" t="s">
        <v>15</v>
      </c>
      <c r="B8" s="969">
        <v>2005</v>
      </c>
      <c r="C8" s="970">
        <f>VLOOKUP($B8,AWPU!$B:$L,9,FALSE)</f>
        <v>323</v>
      </c>
      <c r="D8" s="970">
        <f>VLOOKUP(B8,AWPU!B:L,10,FALSE)+VLOOKUP('2015 Factor % to units'!B8,AWPU!B:L,11,FALSE)</f>
        <v>0</v>
      </c>
      <c r="E8" s="971">
        <v>0.46794871794871795</v>
      </c>
      <c r="F8" s="971">
        <v>0</v>
      </c>
      <c r="G8" s="971">
        <f t="shared" si="0"/>
        <v>151.14743589743591</v>
      </c>
      <c r="H8" s="971">
        <f t="shared" si="0"/>
        <v>0</v>
      </c>
      <c r="K8" s="971">
        <v>4.67289719626168E-2</v>
      </c>
      <c r="L8" s="971">
        <v>0</v>
      </c>
      <c r="M8" s="971">
        <v>0.289719626168224</v>
      </c>
      <c r="N8" s="971">
        <v>0</v>
      </c>
      <c r="O8" s="971">
        <v>0.34579439252336402</v>
      </c>
      <c r="P8" s="971">
        <v>0</v>
      </c>
      <c r="Q8" s="971">
        <v>0.17445482866043599</v>
      </c>
      <c r="R8" s="971">
        <v>0</v>
      </c>
      <c r="S8" s="971">
        <v>0.11526479750778799</v>
      </c>
      <c r="T8" s="971">
        <v>0</v>
      </c>
      <c r="U8" s="971">
        <v>3.1152647975077898E-3</v>
      </c>
      <c r="V8" s="971">
        <v>0</v>
      </c>
      <c r="X8" s="971">
        <f t="shared" si="1"/>
        <v>15.093457943925227</v>
      </c>
      <c r="Y8" s="971">
        <f t="shared" si="1"/>
        <v>0</v>
      </c>
      <c r="Z8" s="971">
        <f t="shared" si="2"/>
        <v>93.579439252336357</v>
      </c>
      <c r="AA8" s="971">
        <f t="shared" si="2"/>
        <v>0</v>
      </c>
      <c r="AB8" s="971">
        <f t="shared" si="3"/>
        <v>111.69158878504658</v>
      </c>
      <c r="AC8" s="971">
        <f t="shared" si="3"/>
        <v>0</v>
      </c>
      <c r="AD8" s="971">
        <f t="shared" si="4"/>
        <v>56.348909657320824</v>
      </c>
      <c r="AE8" s="971">
        <f t="shared" si="4"/>
        <v>0</v>
      </c>
      <c r="AF8" s="971">
        <f t="shared" si="5"/>
        <v>37.230529595015526</v>
      </c>
      <c r="AG8" s="971">
        <f t="shared" si="5"/>
        <v>0</v>
      </c>
      <c r="AH8" s="971">
        <f t="shared" si="6"/>
        <v>1.006230529595016</v>
      </c>
      <c r="AI8" s="971">
        <f t="shared" si="6"/>
        <v>0</v>
      </c>
      <c r="AL8" s="971">
        <v>0.111510791366906</v>
      </c>
      <c r="AM8" s="971">
        <v>0</v>
      </c>
      <c r="AO8">
        <f t="shared" si="7"/>
        <v>36.017985611510639</v>
      </c>
      <c r="AP8">
        <f t="shared" si="7"/>
        <v>0</v>
      </c>
      <c r="AS8" s="972">
        <v>0.18885448916408701</v>
      </c>
      <c r="AT8" s="972">
        <v>0</v>
      </c>
      <c r="AU8" s="972">
        <f t="shared" si="8"/>
        <v>8.8854489164087003E-2</v>
      </c>
      <c r="AV8" s="987">
        <f t="shared" si="8"/>
        <v>-0.1</v>
      </c>
      <c r="AX8">
        <f t="shared" si="9"/>
        <v>28.700000000000102</v>
      </c>
      <c r="AY8">
        <f t="shared" si="9"/>
        <v>0</v>
      </c>
      <c r="BA8" s="971">
        <v>0</v>
      </c>
      <c r="BC8">
        <f t="shared" si="10"/>
        <v>0</v>
      </c>
      <c r="BF8">
        <v>0</v>
      </c>
      <c r="BG8" s="971"/>
      <c r="BK8" s="1240">
        <v>0.18885448916408701</v>
      </c>
      <c r="BL8" s="1240">
        <v>0</v>
      </c>
    </row>
    <row r="9" spans="1:64" x14ac:dyDescent="0.2">
      <c r="A9" s="968" t="s">
        <v>16</v>
      </c>
      <c r="B9" s="969">
        <v>2464</v>
      </c>
      <c r="C9" s="970">
        <f>VLOOKUP($B9,AWPU!$B:$L,9,FALSE)</f>
        <v>192</v>
      </c>
      <c r="D9" s="970">
        <f>VLOOKUP(B9,AWPU!B:L,10,FALSE)+VLOOKUP('2015 Factor % to units'!B9,AWPU!B:L,11,FALSE)</f>
        <v>0</v>
      </c>
      <c r="E9" s="971">
        <v>0.34920634920634919</v>
      </c>
      <c r="F9" s="971">
        <v>0</v>
      </c>
      <c r="G9" s="971">
        <f t="shared" si="0"/>
        <v>67.047619047619037</v>
      </c>
      <c r="H9" s="971">
        <f t="shared" si="0"/>
        <v>0</v>
      </c>
      <c r="K9" s="971">
        <v>0.25520833333333298</v>
      </c>
      <c r="L9" s="971">
        <v>0</v>
      </c>
      <c r="M9" s="971">
        <v>0.578125</v>
      </c>
      <c r="N9" s="971">
        <v>0</v>
      </c>
      <c r="O9" s="971">
        <v>1.0416666666666701E-2</v>
      </c>
      <c r="P9" s="971">
        <v>0</v>
      </c>
      <c r="Q9" s="971">
        <v>5.2083333333333296E-3</v>
      </c>
      <c r="R9" s="971">
        <v>0</v>
      </c>
      <c r="S9" s="971">
        <v>1.0416666666666701E-2</v>
      </c>
      <c r="T9" s="971">
        <v>0</v>
      </c>
      <c r="U9" s="971">
        <v>0</v>
      </c>
      <c r="V9" s="971">
        <v>0</v>
      </c>
      <c r="X9" s="971">
        <f t="shared" si="1"/>
        <v>48.999999999999929</v>
      </c>
      <c r="Y9" s="971">
        <f t="shared" si="1"/>
        <v>0</v>
      </c>
      <c r="Z9" s="971">
        <f t="shared" si="2"/>
        <v>111</v>
      </c>
      <c r="AA9" s="971">
        <f t="shared" si="2"/>
        <v>0</v>
      </c>
      <c r="AB9" s="971">
        <f t="shared" si="3"/>
        <v>2.0000000000000067</v>
      </c>
      <c r="AC9" s="971">
        <f t="shared" si="3"/>
        <v>0</v>
      </c>
      <c r="AD9" s="971">
        <f t="shared" si="4"/>
        <v>0.99999999999999933</v>
      </c>
      <c r="AE9" s="971">
        <f t="shared" si="4"/>
        <v>0</v>
      </c>
      <c r="AF9" s="971">
        <f t="shared" si="5"/>
        <v>2.0000000000000067</v>
      </c>
      <c r="AG9" s="971">
        <f t="shared" si="5"/>
        <v>0</v>
      </c>
      <c r="AH9" s="971">
        <f t="shared" si="6"/>
        <v>0</v>
      </c>
      <c r="AI9" s="971">
        <f t="shared" si="6"/>
        <v>0</v>
      </c>
      <c r="AL9" s="971">
        <v>6.13496932515337E-3</v>
      </c>
      <c r="AM9" s="971">
        <v>0</v>
      </c>
      <c r="AO9">
        <f t="shared" si="7"/>
        <v>1.177914110429447</v>
      </c>
      <c r="AP9">
        <f t="shared" si="7"/>
        <v>0</v>
      </c>
      <c r="AS9" s="972">
        <v>4.6875E-2</v>
      </c>
      <c r="AT9" s="972">
        <v>0</v>
      </c>
      <c r="AU9" s="972">
        <f t="shared" si="8"/>
        <v>-5.3125000000000006E-2</v>
      </c>
      <c r="AV9" s="987">
        <f t="shared" si="8"/>
        <v>-0.1</v>
      </c>
      <c r="AX9">
        <f t="shared" si="9"/>
        <v>0</v>
      </c>
      <c r="AY9">
        <f t="shared" si="9"/>
        <v>0</v>
      </c>
      <c r="BA9" s="971">
        <v>0</v>
      </c>
      <c r="BC9">
        <f t="shared" si="10"/>
        <v>0</v>
      </c>
      <c r="BF9">
        <v>0</v>
      </c>
      <c r="BG9" s="971"/>
      <c r="BK9" s="1240">
        <v>4.6875E-2</v>
      </c>
      <c r="BL9" s="1240">
        <v>0</v>
      </c>
    </row>
    <row r="10" spans="1:64" x14ac:dyDescent="0.2">
      <c r="A10" s="968" t="s">
        <v>17</v>
      </c>
      <c r="B10" s="969">
        <v>2004</v>
      </c>
      <c r="C10" s="970">
        <f>VLOOKUP($B10,AWPU!$B:$L,9,FALSE)</f>
        <v>272</v>
      </c>
      <c r="D10" s="970">
        <f>VLOOKUP(B10,AWPU!B:L,10,FALSE)+VLOOKUP('2015 Factor % to units'!B10,AWPU!B:L,11,FALSE)</f>
        <v>0</v>
      </c>
      <c r="E10" s="971">
        <v>0.67829457364341084</v>
      </c>
      <c r="F10" s="971">
        <v>0</v>
      </c>
      <c r="G10" s="971">
        <f t="shared" si="0"/>
        <v>184.49612403100775</v>
      </c>
      <c r="H10" s="971">
        <f t="shared" si="0"/>
        <v>0</v>
      </c>
      <c r="K10" s="971">
        <v>0.105263157894737</v>
      </c>
      <c r="L10" s="971">
        <v>0</v>
      </c>
      <c r="M10" s="971">
        <v>9.7744360902255606E-2</v>
      </c>
      <c r="N10" s="971">
        <v>0</v>
      </c>
      <c r="O10" s="971">
        <v>9.0225563909774403E-2</v>
      </c>
      <c r="P10" s="971">
        <v>0</v>
      </c>
      <c r="Q10" s="971">
        <v>2.2556390977443601E-2</v>
      </c>
      <c r="R10" s="971">
        <v>0</v>
      </c>
      <c r="S10" s="971">
        <v>0.59774436090225602</v>
      </c>
      <c r="T10" s="971">
        <v>0</v>
      </c>
      <c r="U10" s="971">
        <v>1.8796992481203E-2</v>
      </c>
      <c r="V10" s="971">
        <v>0</v>
      </c>
      <c r="X10" s="971">
        <f t="shared" si="1"/>
        <v>28.631578947368464</v>
      </c>
      <c r="Y10" s="971">
        <f t="shared" si="1"/>
        <v>0</v>
      </c>
      <c r="Z10" s="971">
        <f t="shared" si="2"/>
        <v>26.586466165413526</v>
      </c>
      <c r="AA10" s="971">
        <f t="shared" si="2"/>
        <v>0</v>
      </c>
      <c r="AB10" s="971">
        <f t="shared" si="3"/>
        <v>24.541353383458638</v>
      </c>
      <c r="AC10" s="971">
        <f t="shared" si="3"/>
        <v>0</v>
      </c>
      <c r="AD10" s="971">
        <f t="shared" si="4"/>
        <v>6.1353383458646595</v>
      </c>
      <c r="AE10" s="971">
        <f t="shared" si="4"/>
        <v>0</v>
      </c>
      <c r="AF10" s="971">
        <f t="shared" si="5"/>
        <v>162.58646616541364</v>
      </c>
      <c r="AG10" s="971">
        <f t="shared" si="5"/>
        <v>0</v>
      </c>
      <c r="AH10" s="971">
        <f t="shared" si="6"/>
        <v>5.1127819548872155</v>
      </c>
      <c r="AI10" s="971">
        <f t="shared" si="6"/>
        <v>0</v>
      </c>
      <c r="AL10" s="971">
        <v>5.8823529411764698E-2</v>
      </c>
      <c r="AM10" s="971">
        <v>0</v>
      </c>
      <c r="AO10">
        <f t="shared" si="7"/>
        <v>15.999999999999998</v>
      </c>
      <c r="AP10">
        <f t="shared" si="7"/>
        <v>0</v>
      </c>
      <c r="AS10" s="972">
        <v>0.11764705882352899</v>
      </c>
      <c r="AT10" s="972">
        <v>0</v>
      </c>
      <c r="AU10" s="972">
        <f t="shared" si="8"/>
        <v>1.7647058823528988E-2</v>
      </c>
      <c r="AV10" s="987">
        <f t="shared" si="8"/>
        <v>-0.1</v>
      </c>
      <c r="AX10">
        <f t="shared" si="9"/>
        <v>4.7999999999998852</v>
      </c>
      <c r="AY10">
        <f t="shared" si="9"/>
        <v>0</v>
      </c>
      <c r="BA10" s="971">
        <v>0</v>
      </c>
      <c r="BC10">
        <f t="shared" si="10"/>
        <v>0</v>
      </c>
      <c r="BF10">
        <v>0</v>
      </c>
      <c r="BG10" s="971"/>
      <c r="BK10" s="1240">
        <v>0.11764705882352899</v>
      </c>
      <c r="BL10" s="1240">
        <v>0</v>
      </c>
    </row>
    <row r="11" spans="1:64" x14ac:dyDescent="0.2">
      <c r="A11" s="968" t="s">
        <v>18</v>
      </c>
      <c r="B11" s="969">
        <v>2405</v>
      </c>
      <c r="C11" s="970">
        <f>VLOOKUP($B11,AWPU!$B:$L,9,FALSE)</f>
        <v>201</v>
      </c>
      <c r="D11" s="970">
        <f>VLOOKUP(B11,AWPU!B:L,10,FALSE)+VLOOKUP('2015 Factor % to units'!B11,AWPU!B:L,11,FALSE)</f>
        <v>0</v>
      </c>
      <c r="E11" s="971">
        <v>0.50769230769230766</v>
      </c>
      <c r="F11" s="971">
        <v>0</v>
      </c>
      <c r="G11" s="971">
        <f t="shared" si="0"/>
        <v>102.04615384615384</v>
      </c>
      <c r="H11" s="971">
        <f t="shared" si="0"/>
        <v>0</v>
      </c>
      <c r="K11" s="971">
        <v>4.8309178743961402E-3</v>
      </c>
      <c r="L11" s="971">
        <v>0</v>
      </c>
      <c r="M11" s="971">
        <v>0.15458937198067599</v>
      </c>
      <c r="N11" s="971">
        <v>0</v>
      </c>
      <c r="O11" s="971">
        <v>0.54589371980676304</v>
      </c>
      <c r="P11" s="971">
        <v>0</v>
      </c>
      <c r="Q11" s="971">
        <v>2.41545893719807E-2</v>
      </c>
      <c r="R11" s="971">
        <v>0</v>
      </c>
      <c r="S11" s="971">
        <v>0.217391304347826</v>
      </c>
      <c r="T11" s="971">
        <v>0</v>
      </c>
      <c r="U11" s="971">
        <v>2.8985507246376802E-2</v>
      </c>
      <c r="V11" s="971">
        <v>0</v>
      </c>
      <c r="X11" s="971">
        <f t="shared" si="1"/>
        <v>0.97101449275362417</v>
      </c>
      <c r="Y11" s="971">
        <f t="shared" si="1"/>
        <v>0</v>
      </c>
      <c r="Z11" s="971">
        <f t="shared" si="2"/>
        <v>31.072463768115874</v>
      </c>
      <c r="AA11" s="971">
        <f t="shared" si="2"/>
        <v>0</v>
      </c>
      <c r="AB11" s="971">
        <f t="shared" si="3"/>
        <v>109.72463768115938</v>
      </c>
      <c r="AC11" s="971">
        <f t="shared" si="3"/>
        <v>0</v>
      </c>
      <c r="AD11" s="971">
        <f t="shared" si="4"/>
        <v>4.8550724637681206</v>
      </c>
      <c r="AE11" s="971">
        <f t="shared" si="4"/>
        <v>0</v>
      </c>
      <c r="AF11" s="971">
        <f t="shared" si="5"/>
        <v>43.695652173913025</v>
      </c>
      <c r="AG11" s="971">
        <f t="shared" si="5"/>
        <v>0</v>
      </c>
      <c r="AH11" s="971">
        <f t="shared" si="6"/>
        <v>5.8260869565217375</v>
      </c>
      <c r="AI11" s="971">
        <f t="shared" si="6"/>
        <v>0</v>
      </c>
      <c r="AL11" s="971">
        <v>0.19774011299434999</v>
      </c>
      <c r="AM11" s="971">
        <v>0</v>
      </c>
      <c r="AO11">
        <f t="shared" si="7"/>
        <v>39.745762711864344</v>
      </c>
      <c r="AP11">
        <f t="shared" si="7"/>
        <v>0</v>
      </c>
      <c r="AS11" s="972">
        <v>8.2125603864734303E-2</v>
      </c>
      <c r="AT11" s="972">
        <v>0</v>
      </c>
      <c r="AU11" s="972">
        <f t="shared" si="8"/>
        <v>-1.7874396135265702E-2</v>
      </c>
      <c r="AV11" s="987">
        <f t="shared" si="8"/>
        <v>-0.1</v>
      </c>
      <c r="AX11">
        <f t="shared" si="9"/>
        <v>0</v>
      </c>
      <c r="AY11">
        <f t="shared" si="9"/>
        <v>0</v>
      </c>
      <c r="BA11" s="971">
        <v>0</v>
      </c>
      <c r="BC11">
        <f t="shared" si="10"/>
        <v>0</v>
      </c>
      <c r="BF11">
        <v>0</v>
      </c>
      <c r="BG11" s="971"/>
      <c r="BK11" s="1240">
        <v>8.2125603864734303E-2</v>
      </c>
      <c r="BL11" s="1240">
        <v>0</v>
      </c>
    </row>
    <row r="12" spans="1:64" x14ac:dyDescent="0.2">
      <c r="A12" s="968" t="s">
        <v>95</v>
      </c>
      <c r="B12" s="969">
        <v>2011</v>
      </c>
      <c r="C12" s="970">
        <f>VLOOKUP($B12,AWPU!$B:$L,9,FALSE)</f>
        <v>214</v>
      </c>
      <c r="D12" s="970">
        <f>VLOOKUP(B12,AWPU!B:L,10,FALSE)+VLOOKUP('2015 Factor % to units'!B12,AWPU!B:L,11,FALSE)</f>
        <v>0</v>
      </c>
      <c r="E12" s="971">
        <v>0.33173076923076922</v>
      </c>
      <c r="F12" s="971">
        <v>0</v>
      </c>
      <c r="G12" s="971">
        <f t="shared" si="0"/>
        <v>70.990384615384613</v>
      </c>
      <c r="H12" s="971">
        <f t="shared" si="0"/>
        <v>0</v>
      </c>
      <c r="K12" s="971">
        <v>0</v>
      </c>
      <c r="L12" s="971">
        <v>0</v>
      </c>
      <c r="M12" s="971">
        <v>0.42523364485981302</v>
      </c>
      <c r="N12" s="971">
        <v>0</v>
      </c>
      <c r="O12" s="971">
        <v>0.31775700934579398</v>
      </c>
      <c r="P12" s="971">
        <v>0</v>
      </c>
      <c r="Q12" s="971">
        <v>4.2056074766355103E-2</v>
      </c>
      <c r="R12" s="971">
        <v>0</v>
      </c>
      <c r="S12" s="971">
        <v>8.4112149532710304E-2</v>
      </c>
      <c r="T12" s="971">
        <v>0</v>
      </c>
      <c r="U12" s="971">
        <v>4.6728971962616802E-3</v>
      </c>
      <c r="V12" s="971">
        <v>0</v>
      </c>
      <c r="X12" s="971">
        <f t="shared" si="1"/>
        <v>0</v>
      </c>
      <c r="Y12" s="971">
        <f t="shared" si="1"/>
        <v>0</v>
      </c>
      <c r="Z12" s="971">
        <f t="shared" si="2"/>
        <v>90.999999999999986</v>
      </c>
      <c r="AA12" s="971">
        <f t="shared" si="2"/>
        <v>0</v>
      </c>
      <c r="AB12" s="971">
        <f t="shared" si="3"/>
        <v>67.999999999999915</v>
      </c>
      <c r="AC12" s="971">
        <f t="shared" si="3"/>
        <v>0</v>
      </c>
      <c r="AD12" s="971">
        <f t="shared" si="4"/>
        <v>8.9999999999999929</v>
      </c>
      <c r="AE12" s="971">
        <f t="shared" si="4"/>
        <v>0</v>
      </c>
      <c r="AF12" s="971">
        <f t="shared" si="5"/>
        <v>18.000000000000004</v>
      </c>
      <c r="AG12" s="971">
        <f t="shared" si="5"/>
        <v>0</v>
      </c>
      <c r="AH12" s="971">
        <f t="shared" si="6"/>
        <v>0.99999999999999956</v>
      </c>
      <c r="AI12" s="971">
        <f t="shared" si="6"/>
        <v>0</v>
      </c>
      <c r="AL12" s="971">
        <v>5.4945054945054903E-2</v>
      </c>
      <c r="AM12" s="971">
        <v>0</v>
      </c>
      <c r="AO12">
        <f t="shared" si="7"/>
        <v>11.758241758241748</v>
      </c>
      <c r="AP12">
        <f t="shared" si="7"/>
        <v>0</v>
      </c>
      <c r="AS12" s="972">
        <v>0.81308411214953302</v>
      </c>
      <c r="AT12" s="972">
        <v>0</v>
      </c>
      <c r="AU12" s="972">
        <f t="shared" si="8"/>
        <v>0.71308411214953304</v>
      </c>
      <c r="AV12" s="987">
        <f t="shared" si="8"/>
        <v>-0.1</v>
      </c>
      <c r="AX12">
        <f t="shared" si="9"/>
        <v>152.60000000000008</v>
      </c>
      <c r="AY12">
        <f t="shared" si="9"/>
        <v>0</v>
      </c>
      <c r="BA12" s="971">
        <v>0</v>
      </c>
      <c r="BC12">
        <f t="shared" si="10"/>
        <v>0</v>
      </c>
      <c r="BF12">
        <v>0</v>
      </c>
      <c r="BG12" s="971"/>
      <c r="BK12" s="1241">
        <v>0</v>
      </c>
      <c r="BL12" s="1240">
        <v>0</v>
      </c>
    </row>
    <row r="13" spans="1:64" x14ac:dyDescent="0.2">
      <c r="A13" s="968" t="s">
        <v>20</v>
      </c>
      <c r="B13" s="969">
        <v>5201</v>
      </c>
      <c r="C13" s="970">
        <f>VLOOKUP($B13,AWPU!$B:$L,9,FALSE)</f>
        <v>419</v>
      </c>
      <c r="D13" s="970">
        <f>VLOOKUP(B13,AWPU!B:L,10,FALSE)+VLOOKUP('2015 Factor % to units'!B13,AWPU!B:L,11,FALSE)</f>
        <v>0</v>
      </c>
      <c r="E13" s="971">
        <v>0.1388888888888889</v>
      </c>
      <c r="F13" s="971">
        <v>0</v>
      </c>
      <c r="G13" s="971">
        <f t="shared" si="0"/>
        <v>58.19444444444445</v>
      </c>
      <c r="H13" s="971">
        <f t="shared" si="0"/>
        <v>0</v>
      </c>
      <c r="K13" s="971">
        <v>0.100238663484487</v>
      </c>
      <c r="L13" s="971">
        <v>0</v>
      </c>
      <c r="M13" s="971">
        <v>0.200477326968974</v>
      </c>
      <c r="N13" s="971">
        <v>0</v>
      </c>
      <c r="O13" s="971">
        <v>1.67064439140811E-2</v>
      </c>
      <c r="P13" s="971">
        <v>0</v>
      </c>
      <c r="Q13" s="971">
        <v>1.67064439140811E-2</v>
      </c>
      <c r="R13" s="971">
        <v>0</v>
      </c>
      <c r="S13" s="971">
        <v>9.5465393794749408E-3</v>
      </c>
      <c r="T13" s="971">
        <v>0</v>
      </c>
      <c r="U13" s="971">
        <v>2.38663484486874E-3</v>
      </c>
      <c r="V13" s="971">
        <v>0</v>
      </c>
      <c r="X13" s="971">
        <f t="shared" si="1"/>
        <v>42.00000000000005</v>
      </c>
      <c r="Y13" s="971">
        <f t="shared" si="1"/>
        <v>0</v>
      </c>
      <c r="Z13" s="971">
        <f t="shared" si="2"/>
        <v>84.000000000000099</v>
      </c>
      <c r="AA13" s="971">
        <f t="shared" si="2"/>
        <v>0</v>
      </c>
      <c r="AB13" s="971">
        <f t="shared" si="3"/>
        <v>6.9999999999999813</v>
      </c>
      <c r="AC13" s="971">
        <f t="shared" si="3"/>
        <v>0</v>
      </c>
      <c r="AD13" s="971">
        <f t="shared" si="4"/>
        <v>6.9999999999999813</v>
      </c>
      <c r="AE13" s="971">
        <f t="shared" si="4"/>
        <v>0</v>
      </c>
      <c r="AF13" s="971">
        <f t="shared" si="5"/>
        <v>4</v>
      </c>
      <c r="AG13" s="971">
        <f t="shared" si="5"/>
        <v>0</v>
      </c>
      <c r="AH13" s="971">
        <f t="shared" si="6"/>
        <v>1.000000000000002</v>
      </c>
      <c r="AI13" s="971">
        <f t="shared" si="6"/>
        <v>0</v>
      </c>
      <c r="AL13" s="971">
        <v>8.3333333333333297E-3</v>
      </c>
      <c r="AM13" s="971">
        <v>0</v>
      </c>
      <c r="AO13">
        <f t="shared" si="7"/>
        <v>3.4916666666666654</v>
      </c>
      <c r="AP13">
        <f t="shared" si="7"/>
        <v>0</v>
      </c>
      <c r="AS13" s="972">
        <v>4.2959427207637201E-2</v>
      </c>
      <c r="AT13" s="972">
        <v>0</v>
      </c>
      <c r="AU13" s="972">
        <f t="shared" si="8"/>
        <v>-5.7040572792362805E-2</v>
      </c>
      <c r="AV13" s="987">
        <f t="shared" si="8"/>
        <v>-0.1</v>
      </c>
      <c r="AX13">
        <f t="shared" si="9"/>
        <v>0</v>
      </c>
      <c r="AY13">
        <f t="shared" si="9"/>
        <v>0</v>
      </c>
      <c r="BA13" s="971">
        <v>2.5252525252525255E-3</v>
      </c>
      <c r="BC13">
        <f t="shared" si="10"/>
        <v>1.0580808080808082</v>
      </c>
      <c r="BF13">
        <v>0</v>
      </c>
      <c r="BG13" s="971"/>
      <c r="BK13" s="1240">
        <v>4.2959427207637201E-2</v>
      </c>
      <c r="BL13" s="1240">
        <v>0</v>
      </c>
    </row>
    <row r="14" spans="1:64" x14ac:dyDescent="0.2">
      <c r="A14" s="968" t="s">
        <v>21</v>
      </c>
      <c r="B14" s="969">
        <v>2433</v>
      </c>
      <c r="C14" s="970">
        <f>VLOOKUP($B14,AWPU!$B:$L,9,FALSE)</f>
        <v>172</v>
      </c>
      <c r="D14" s="970">
        <f>VLOOKUP(B14,AWPU!B:L,10,FALSE)+VLOOKUP('2015 Factor % to units'!B14,AWPU!B:L,11,FALSE)</f>
        <v>0</v>
      </c>
      <c r="E14" s="971">
        <v>0.42051282051282052</v>
      </c>
      <c r="F14" s="971">
        <v>0</v>
      </c>
      <c r="G14" s="971">
        <f t="shared" si="0"/>
        <v>72.328205128205127</v>
      </c>
      <c r="H14" s="971">
        <f t="shared" si="0"/>
        <v>0</v>
      </c>
      <c r="K14" s="971">
        <v>0.16243654822334999</v>
      </c>
      <c r="L14" s="971">
        <v>0</v>
      </c>
      <c r="M14" s="971">
        <v>0.294416243654822</v>
      </c>
      <c r="N14" s="971">
        <v>0</v>
      </c>
      <c r="O14" s="971">
        <v>0.27918781725888298</v>
      </c>
      <c r="P14" s="971">
        <v>0</v>
      </c>
      <c r="Q14" s="971">
        <v>5.5837563451776699E-2</v>
      </c>
      <c r="R14" s="971">
        <v>0</v>
      </c>
      <c r="S14" s="971">
        <v>0.131979695431472</v>
      </c>
      <c r="T14" s="971">
        <v>0</v>
      </c>
      <c r="U14" s="971">
        <v>1.01522842639594E-2</v>
      </c>
      <c r="V14" s="971">
        <v>0</v>
      </c>
      <c r="X14" s="971">
        <f t="shared" si="1"/>
        <v>27.9390862944162</v>
      </c>
      <c r="Y14" s="971">
        <f t="shared" si="1"/>
        <v>0</v>
      </c>
      <c r="Z14" s="971">
        <f t="shared" si="2"/>
        <v>50.639593908629386</v>
      </c>
      <c r="AA14" s="971">
        <f t="shared" si="2"/>
        <v>0</v>
      </c>
      <c r="AB14" s="971">
        <f t="shared" si="3"/>
        <v>48.02030456852787</v>
      </c>
      <c r="AC14" s="971">
        <f t="shared" si="3"/>
        <v>0</v>
      </c>
      <c r="AD14" s="971">
        <f t="shared" si="4"/>
        <v>9.6040609137055917</v>
      </c>
      <c r="AE14" s="971">
        <f t="shared" si="4"/>
        <v>0</v>
      </c>
      <c r="AF14" s="971">
        <f t="shared" si="5"/>
        <v>22.700507614213183</v>
      </c>
      <c r="AG14" s="971">
        <f t="shared" si="5"/>
        <v>0</v>
      </c>
      <c r="AH14" s="971">
        <f t="shared" si="6"/>
        <v>1.7461928934010169</v>
      </c>
      <c r="AI14" s="971">
        <f t="shared" si="6"/>
        <v>0</v>
      </c>
      <c r="AL14" s="971">
        <v>8.59375E-2</v>
      </c>
      <c r="AM14" s="971">
        <v>0</v>
      </c>
      <c r="AO14">
        <f t="shared" si="7"/>
        <v>14.78125</v>
      </c>
      <c r="AP14">
        <f t="shared" si="7"/>
        <v>0</v>
      </c>
      <c r="AS14" s="972">
        <v>6.0913705583756299E-2</v>
      </c>
      <c r="AT14" s="972">
        <v>0</v>
      </c>
      <c r="AU14" s="972">
        <f t="shared" si="8"/>
        <v>-3.9086294416243707E-2</v>
      </c>
      <c r="AV14" s="987">
        <f t="shared" si="8"/>
        <v>-0.1</v>
      </c>
      <c r="AX14">
        <f t="shared" si="9"/>
        <v>0</v>
      </c>
      <c r="AY14">
        <f t="shared" si="9"/>
        <v>0</v>
      </c>
      <c r="BA14" s="971">
        <v>0</v>
      </c>
      <c r="BC14">
        <f t="shared" si="10"/>
        <v>0</v>
      </c>
      <c r="BF14">
        <v>0</v>
      </c>
      <c r="BG14" s="971"/>
      <c r="BK14" s="1240">
        <v>6.0913705583756299E-2</v>
      </c>
      <c r="BL14" s="1240">
        <v>0</v>
      </c>
    </row>
    <row r="15" spans="1:64" x14ac:dyDescent="0.2">
      <c r="A15" s="968" t="s">
        <v>22</v>
      </c>
      <c r="B15" s="969">
        <v>2432</v>
      </c>
      <c r="C15" s="970">
        <f>VLOOKUP($B15,AWPU!$B:$L,9,FALSE)</f>
        <v>205</v>
      </c>
      <c r="D15" s="970">
        <f>VLOOKUP(B15,AWPU!B:L,10,FALSE)+VLOOKUP('2015 Factor % to units'!B15,AWPU!B:L,11,FALSE)</f>
        <v>0</v>
      </c>
      <c r="E15" s="971">
        <v>0.48749999999999999</v>
      </c>
      <c r="F15" s="971">
        <v>0</v>
      </c>
      <c r="G15" s="971">
        <f t="shared" si="0"/>
        <v>99.9375</v>
      </c>
      <c r="H15" s="971">
        <f t="shared" si="0"/>
        <v>0</v>
      </c>
      <c r="K15" s="971">
        <v>0.23045267489711899</v>
      </c>
      <c r="L15" s="971">
        <v>0</v>
      </c>
      <c r="M15" s="971">
        <v>0.19341563786008201</v>
      </c>
      <c r="N15" s="971">
        <v>0</v>
      </c>
      <c r="O15" s="971">
        <v>0.27983539094650201</v>
      </c>
      <c r="P15" s="971">
        <v>0</v>
      </c>
      <c r="Q15" s="971">
        <v>3.7037037037037E-2</v>
      </c>
      <c r="R15" s="971">
        <v>0</v>
      </c>
      <c r="S15" s="971">
        <v>0.13580246913580199</v>
      </c>
      <c r="T15" s="971">
        <v>0</v>
      </c>
      <c r="U15" s="971">
        <v>1.6460905349794198E-2</v>
      </c>
      <c r="V15" s="971">
        <v>0</v>
      </c>
      <c r="X15" s="971">
        <f t="shared" si="1"/>
        <v>47.242798353909393</v>
      </c>
      <c r="Y15" s="971">
        <f t="shared" si="1"/>
        <v>0</v>
      </c>
      <c r="Z15" s="971">
        <f t="shared" si="2"/>
        <v>39.650205761316812</v>
      </c>
      <c r="AA15" s="971">
        <f t="shared" si="2"/>
        <v>0</v>
      </c>
      <c r="AB15" s="971">
        <f t="shared" si="3"/>
        <v>57.366255144032912</v>
      </c>
      <c r="AC15" s="971">
        <f t="shared" si="3"/>
        <v>0</v>
      </c>
      <c r="AD15" s="971">
        <f t="shared" si="4"/>
        <v>7.5925925925925855</v>
      </c>
      <c r="AE15" s="971">
        <f t="shared" si="4"/>
        <v>0</v>
      </c>
      <c r="AF15" s="971">
        <f t="shared" si="5"/>
        <v>27.839506172839407</v>
      </c>
      <c r="AG15" s="971">
        <f t="shared" si="5"/>
        <v>0</v>
      </c>
      <c r="AH15" s="971">
        <f t="shared" si="6"/>
        <v>3.3744855967078107</v>
      </c>
      <c r="AI15" s="971">
        <f t="shared" si="6"/>
        <v>0</v>
      </c>
      <c r="AL15" s="971">
        <v>2.4691358024691398E-2</v>
      </c>
      <c r="AM15" s="971">
        <v>0</v>
      </c>
      <c r="AO15">
        <f t="shared" si="7"/>
        <v>5.0617283950617367</v>
      </c>
      <c r="AP15">
        <f t="shared" si="7"/>
        <v>0</v>
      </c>
      <c r="AS15" s="972">
        <v>7.4074074074074098E-2</v>
      </c>
      <c r="AT15" s="972">
        <v>0</v>
      </c>
      <c r="AU15" s="972">
        <f t="shared" si="8"/>
        <v>-2.5925925925925908E-2</v>
      </c>
      <c r="AV15" s="987">
        <f t="shared" si="8"/>
        <v>-0.1</v>
      </c>
      <c r="AX15">
        <f t="shared" si="9"/>
        <v>0</v>
      </c>
      <c r="AY15">
        <f t="shared" si="9"/>
        <v>0</v>
      </c>
      <c r="BA15" s="971">
        <v>4.1666666666666666E-3</v>
      </c>
      <c r="BC15">
        <f t="shared" si="10"/>
        <v>0.85416666666666663</v>
      </c>
      <c r="BF15">
        <v>0</v>
      </c>
      <c r="BG15" s="971"/>
      <c r="BK15" s="1240">
        <v>7.4074074074074098E-2</v>
      </c>
      <c r="BL15" s="1240">
        <v>0</v>
      </c>
    </row>
    <row r="16" spans="1:64" x14ac:dyDescent="0.2">
      <c r="A16" s="968" t="s">
        <v>1028</v>
      </c>
      <c r="B16" s="969">
        <v>2447</v>
      </c>
      <c r="C16" s="970">
        <f>VLOOKUP($B16,AWPU!$B:$L,9,FALSE)</f>
        <v>419</v>
      </c>
      <c r="D16" s="970">
        <f>VLOOKUP(B16,AWPU!B:L,10,FALSE)+VLOOKUP('2015 Factor % to units'!B16,AWPU!B:L,11,FALSE)</f>
        <v>0</v>
      </c>
      <c r="E16" s="971">
        <v>0.45575221238938052</v>
      </c>
      <c r="F16" s="971">
        <v>0</v>
      </c>
      <c r="G16" s="971">
        <f t="shared" si="0"/>
        <v>190.96017699115043</v>
      </c>
      <c r="H16" s="971">
        <f t="shared" si="0"/>
        <v>0</v>
      </c>
      <c r="K16" s="971">
        <v>0.16945107398567999</v>
      </c>
      <c r="L16" s="971">
        <v>0</v>
      </c>
      <c r="M16" s="971">
        <v>0.241050119331742</v>
      </c>
      <c r="N16" s="971">
        <v>0</v>
      </c>
      <c r="O16" s="971">
        <v>2.8639618138424802E-2</v>
      </c>
      <c r="P16" s="971">
        <v>0</v>
      </c>
      <c r="Q16" s="971">
        <v>0.13842482100238701</v>
      </c>
      <c r="R16" s="971">
        <v>0</v>
      </c>
      <c r="S16" s="971">
        <v>0.152744630071599</v>
      </c>
      <c r="T16" s="971">
        <v>0</v>
      </c>
      <c r="U16" s="971">
        <v>4.7732696897374704E-3</v>
      </c>
      <c r="V16" s="971">
        <v>0</v>
      </c>
      <c r="X16" s="971">
        <f t="shared" si="1"/>
        <v>70.999999999999915</v>
      </c>
      <c r="Y16" s="971">
        <f t="shared" si="1"/>
        <v>0</v>
      </c>
      <c r="Z16" s="971">
        <f t="shared" si="2"/>
        <v>100.9999999999999</v>
      </c>
      <c r="AA16" s="971">
        <f t="shared" si="2"/>
        <v>0</v>
      </c>
      <c r="AB16" s="971">
        <f t="shared" si="3"/>
        <v>11.999999999999991</v>
      </c>
      <c r="AC16" s="971">
        <f t="shared" si="3"/>
        <v>0</v>
      </c>
      <c r="AD16" s="971">
        <f t="shared" si="4"/>
        <v>58.000000000000156</v>
      </c>
      <c r="AE16" s="971">
        <f t="shared" si="4"/>
        <v>0</v>
      </c>
      <c r="AF16" s="971">
        <f t="shared" si="5"/>
        <v>63.999999999999979</v>
      </c>
      <c r="AG16" s="971">
        <f t="shared" si="5"/>
        <v>0</v>
      </c>
      <c r="AH16" s="971">
        <f t="shared" si="6"/>
        <v>2</v>
      </c>
      <c r="AI16" s="971">
        <f t="shared" si="6"/>
        <v>0</v>
      </c>
      <c r="AL16" s="971">
        <v>3.7356321839080497E-2</v>
      </c>
      <c r="AM16" s="971">
        <v>0</v>
      </c>
      <c r="AO16">
        <f t="shared" si="7"/>
        <v>15.652298850574729</v>
      </c>
      <c r="AP16">
        <f t="shared" si="7"/>
        <v>0</v>
      </c>
      <c r="AS16" s="972">
        <v>0.45107398568019103</v>
      </c>
      <c r="AT16" s="972">
        <v>0</v>
      </c>
      <c r="AU16" s="972">
        <f t="shared" si="8"/>
        <v>0.35107398568019099</v>
      </c>
      <c r="AV16" s="987">
        <f t="shared" si="8"/>
        <v>-0.1</v>
      </c>
      <c r="AX16">
        <f t="shared" si="9"/>
        <v>147.10000000000002</v>
      </c>
      <c r="AY16">
        <f t="shared" si="9"/>
        <v>0</v>
      </c>
      <c r="BA16" s="971">
        <v>4.4247787610619468E-3</v>
      </c>
      <c r="BC16">
        <f t="shared" si="10"/>
        <v>1.8539823008849556</v>
      </c>
      <c r="BF16">
        <v>0</v>
      </c>
      <c r="BG16" s="971"/>
      <c r="BK16" s="1241">
        <v>0</v>
      </c>
      <c r="BL16" s="1240">
        <v>0</v>
      </c>
    </row>
    <row r="17" spans="1:64" x14ac:dyDescent="0.2">
      <c r="A17" s="968" t="s">
        <v>23</v>
      </c>
      <c r="B17" s="969">
        <v>2512</v>
      </c>
      <c r="C17" s="970">
        <f>VLOOKUP($B17,AWPU!$B:$L,9,FALSE)</f>
        <v>206</v>
      </c>
      <c r="D17" s="970">
        <f>VLOOKUP(B17,AWPU!B:L,10,FALSE)+VLOOKUP('2015 Factor % to units'!B17,AWPU!B:L,11,FALSE)</f>
        <v>0</v>
      </c>
      <c r="E17" s="971">
        <v>0.16826923076923078</v>
      </c>
      <c r="F17" s="971">
        <v>0</v>
      </c>
      <c r="G17" s="971">
        <f t="shared" si="0"/>
        <v>34.66346153846154</v>
      </c>
      <c r="H17" s="971">
        <f t="shared" si="0"/>
        <v>0</v>
      </c>
      <c r="K17" s="971">
        <v>0.233009708737864</v>
      </c>
      <c r="L17" s="971">
        <v>0</v>
      </c>
      <c r="M17" s="971">
        <v>4.8543689320388302E-3</v>
      </c>
      <c r="N17" s="971">
        <v>0</v>
      </c>
      <c r="O17" s="971">
        <v>2.4271844660194199E-2</v>
      </c>
      <c r="P17" s="971">
        <v>0</v>
      </c>
      <c r="Q17" s="971">
        <v>9.7087378640776708E-3</v>
      </c>
      <c r="R17" s="971">
        <v>0</v>
      </c>
      <c r="S17" s="971">
        <v>0</v>
      </c>
      <c r="T17" s="971">
        <v>0</v>
      </c>
      <c r="U17" s="971">
        <v>4.8543689320388302E-3</v>
      </c>
      <c r="V17" s="971">
        <v>0</v>
      </c>
      <c r="X17" s="971">
        <f t="shared" si="1"/>
        <v>47.999999999999986</v>
      </c>
      <c r="Y17" s="971">
        <f t="shared" si="1"/>
        <v>0</v>
      </c>
      <c r="Z17" s="971">
        <f t="shared" si="2"/>
        <v>0.999999999999999</v>
      </c>
      <c r="AA17" s="971">
        <f t="shared" si="2"/>
        <v>0</v>
      </c>
      <c r="AB17" s="971">
        <f t="shared" si="3"/>
        <v>5.0000000000000053</v>
      </c>
      <c r="AC17" s="971">
        <f t="shared" si="3"/>
        <v>0</v>
      </c>
      <c r="AD17" s="971">
        <f t="shared" si="4"/>
        <v>2</v>
      </c>
      <c r="AE17" s="971">
        <f t="shared" si="4"/>
        <v>0</v>
      </c>
      <c r="AF17" s="971">
        <f t="shared" si="5"/>
        <v>0</v>
      </c>
      <c r="AG17" s="971">
        <f t="shared" si="5"/>
        <v>0</v>
      </c>
      <c r="AH17" s="971">
        <f t="shared" si="6"/>
        <v>0.999999999999999</v>
      </c>
      <c r="AI17" s="971">
        <f t="shared" si="6"/>
        <v>0</v>
      </c>
      <c r="AL17" s="971">
        <v>0.119318181818182</v>
      </c>
      <c r="AM17" s="971">
        <v>0</v>
      </c>
      <c r="AO17">
        <f t="shared" si="7"/>
        <v>24.579545454545492</v>
      </c>
      <c r="AP17">
        <f t="shared" si="7"/>
        <v>0</v>
      </c>
      <c r="AS17" s="972">
        <v>8.7378640776699004E-2</v>
      </c>
      <c r="AT17" s="972">
        <v>0</v>
      </c>
      <c r="AU17" s="972">
        <f t="shared" si="8"/>
        <v>-1.2621359223301001E-2</v>
      </c>
      <c r="AV17" s="987">
        <f t="shared" si="8"/>
        <v>-0.1</v>
      </c>
      <c r="AX17">
        <f t="shared" si="9"/>
        <v>0</v>
      </c>
      <c r="AY17">
        <f t="shared" si="9"/>
        <v>0</v>
      </c>
      <c r="BA17" s="971">
        <v>0</v>
      </c>
      <c r="BC17">
        <f t="shared" si="10"/>
        <v>0</v>
      </c>
      <c r="BF17">
        <v>0</v>
      </c>
      <c r="BG17" s="971"/>
      <c r="BK17" s="1240">
        <v>8.7378640776699004E-2</v>
      </c>
      <c r="BL17" s="1240">
        <v>0</v>
      </c>
    </row>
    <row r="18" spans="1:64" x14ac:dyDescent="0.2">
      <c r="A18" s="968" t="s">
        <v>24</v>
      </c>
      <c r="B18" s="969">
        <v>2456</v>
      </c>
      <c r="C18" s="970">
        <f>VLOOKUP($B18,AWPU!$B:$L,9,FALSE)</f>
        <v>179</v>
      </c>
      <c r="D18" s="970">
        <f>VLOOKUP(B18,AWPU!B:L,10,FALSE)+VLOOKUP('2015 Factor % to units'!B18,AWPU!B:L,11,FALSE)</f>
        <v>0</v>
      </c>
      <c r="E18" s="971">
        <v>8.4745762711864403E-2</v>
      </c>
      <c r="F18" s="971">
        <v>0</v>
      </c>
      <c r="G18" s="971">
        <f t="shared" si="0"/>
        <v>15.169491525423728</v>
      </c>
      <c r="H18" s="971">
        <f t="shared" si="0"/>
        <v>0</v>
      </c>
      <c r="K18" s="971">
        <v>6.7415730337078705E-2</v>
      </c>
      <c r="L18" s="971">
        <v>0</v>
      </c>
      <c r="M18" s="971">
        <v>5.6179775280898901E-3</v>
      </c>
      <c r="N18" s="971">
        <v>0</v>
      </c>
      <c r="O18" s="971">
        <v>7.8651685393258397E-2</v>
      </c>
      <c r="P18" s="971">
        <v>0</v>
      </c>
      <c r="Q18" s="971">
        <v>0</v>
      </c>
      <c r="R18" s="971">
        <v>0</v>
      </c>
      <c r="S18" s="971">
        <v>5.6179775280898901E-3</v>
      </c>
      <c r="T18" s="971">
        <v>0</v>
      </c>
      <c r="U18" s="971">
        <v>5.6179775280898901E-3</v>
      </c>
      <c r="V18" s="971">
        <v>0</v>
      </c>
      <c r="X18" s="971">
        <f t="shared" si="1"/>
        <v>12.067415730337089</v>
      </c>
      <c r="Y18" s="971">
        <f t="shared" si="1"/>
        <v>0</v>
      </c>
      <c r="Z18" s="971">
        <f t="shared" si="2"/>
        <v>1.0056179775280902</v>
      </c>
      <c r="AA18" s="971">
        <f t="shared" si="2"/>
        <v>0</v>
      </c>
      <c r="AB18" s="971">
        <f t="shared" si="3"/>
        <v>14.078651685393254</v>
      </c>
      <c r="AC18" s="971">
        <f t="shared" si="3"/>
        <v>0</v>
      </c>
      <c r="AD18" s="971">
        <f t="shared" si="4"/>
        <v>0</v>
      </c>
      <c r="AE18" s="971">
        <f t="shared" si="4"/>
        <v>0</v>
      </c>
      <c r="AF18" s="971">
        <f t="shared" si="5"/>
        <v>1.0056179775280902</v>
      </c>
      <c r="AG18" s="971">
        <f t="shared" si="5"/>
        <v>0</v>
      </c>
      <c r="AH18" s="971">
        <f t="shared" si="6"/>
        <v>1.0056179775280902</v>
      </c>
      <c r="AI18" s="971">
        <f t="shared" si="6"/>
        <v>0</v>
      </c>
      <c r="AL18" s="971">
        <v>0.20833333333333301</v>
      </c>
      <c r="AM18" s="971">
        <v>0</v>
      </c>
      <c r="AO18">
        <f t="shared" si="7"/>
        <v>37.291666666666607</v>
      </c>
      <c r="AP18">
        <f t="shared" si="7"/>
        <v>0</v>
      </c>
      <c r="AS18" s="972">
        <v>2.23463687150838E-2</v>
      </c>
      <c r="AT18" s="972">
        <v>0</v>
      </c>
      <c r="AU18" s="972">
        <f t="shared" si="8"/>
        <v>-7.7653631284916202E-2</v>
      </c>
      <c r="AV18" s="987">
        <f t="shared" si="8"/>
        <v>-0.1</v>
      </c>
      <c r="AX18">
        <f t="shared" si="9"/>
        <v>0</v>
      </c>
      <c r="AY18">
        <f t="shared" si="9"/>
        <v>0</v>
      </c>
      <c r="BA18" s="971">
        <v>0</v>
      </c>
      <c r="BC18">
        <f t="shared" si="10"/>
        <v>0</v>
      </c>
      <c r="BF18">
        <v>0</v>
      </c>
      <c r="BG18" s="971"/>
      <c r="BK18" s="1240">
        <v>2.23463687150838E-2</v>
      </c>
      <c r="BL18" s="1240">
        <v>0</v>
      </c>
    </row>
    <row r="19" spans="1:64" x14ac:dyDescent="0.2">
      <c r="A19" s="968" t="s">
        <v>25</v>
      </c>
      <c r="B19" s="969">
        <v>2449</v>
      </c>
      <c r="C19" s="970">
        <f>VLOOKUP($B19,AWPU!$B:$L,9,FALSE)</f>
        <v>270</v>
      </c>
      <c r="D19" s="970">
        <f>VLOOKUP(B19,AWPU!B:L,10,FALSE)+VLOOKUP('2015 Factor % to units'!B19,AWPU!B:L,11,FALSE)</f>
        <v>0</v>
      </c>
      <c r="E19" s="971">
        <v>0.21804511278195488</v>
      </c>
      <c r="F19" s="971">
        <v>0</v>
      </c>
      <c r="G19" s="971">
        <f t="shared" si="0"/>
        <v>58.872180451127818</v>
      </c>
      <c r="H19" s="971">
        <f t="shared" si="0"/>
        <v>0</v>
      </c>
      <c r="K19" s="971">
        <v>0.148148148148148</v>
      </c>
      <c r="L19" s="971">
        <v>0</v>
      </c>
      <c r="M19" s="971">
        <v>1.48148148148148E-2</v>
      </c>
      <c r="N19" s="971">
        <v>0</v>
      </c>
      <c r="O19" s="971">
        <v>0.17037037037037001</v>
      </c>
      <c r="P19" s="971">
        <v>0</v>
      </c>
      <c r="Q19" s="971">
        <v>0.11851851851851899</v>
      </c>
      <c r="R19" s="971">
        <v>0</v>
      </c>
      <c r="S19" s="971">
        <v>7.7777777777777807E-2</v>
      </c>
      <c r="T19" s="971">
        <v>0</v>
      </c>
      <c r="U19" s="971">
        <v>0</v>
      </c>
      <c r="V19" s="971">
        <v>0</v>
      </c>
      <c r="X19" s="971">
        <f t="shared" si="1"/>
        <v>39.999999999999957</v>
      </c>
      <c r="Y19" s="971">
        <f t="shared" si="1"/>
        <v>0</v>
      </c>
      <c r="Z19" s="971">
        <f t="shared" si="2"/>
        <v>3.999999999999996</v>
      </c>
      <c r="AA19" s="971">
        <f t="shared" si="2"/>
        <v>0</v>
      </c>
      <c r="AB19" s="971">
        <f t="shared" si="3"/>
        <v>45.999999999999901</v>
      </c>
      <c r="AC19" s="971">
        <f t="shared" si="3"/>
        <v>0</v>
      </c>
      <c r="AD19" s="971">
        <f t="shared" si="4"/>
        <v>32.000000000000128</v>
      </c>
      <c r="AE19" s="971">
        <f t="shared" si="4"/>
        <v>0</v>
      </c>
      <c r="AF19" s="971">
        <f t="shared" si="5"/>
        <v>21.000000000000007</v>
      </c>
      <c r="AG19" s="971">
        <f t="shared" si="5"/>
        <v>0</v>
      </c>
      <c r="AH19" s="971">
        <f t="shared" si="6"/>
        <v>0</v>
      </c>
      <c r="AI19" s="971">
        <f t="shared" si="6"/>
        <v>0</v>
      </c>
      <c r="AL19" s="971">
        <v>3.3333333333333298E-2</v>
      </c>
      <c r="AM19" s="971">
        <v>0</v>
      </c>
      <c r="AO19">
        <f t="shared" si="7"/>
        <v>8.9999999999999911</v>
      </c>
      <c r="AP19">
        <f t="shared" si="7"/>
        <v>0</v>
      </c>
      <c r="AS19" s="972">
        <v>1.85185185185185E-2</v>
      </c>
      <c r="AT19" s="972">
        <v>0</v>
      </c>
      <c r="AU19" s="972">
        <f t="shared" si="8"/>
        <v>-8.1481481481481502E-2</v>
      </c>
      <c r="AV19" s="987">
        <f t="shared" si="8"/>
        <v>-0.1</v>
      </c>
      <c r="AX19">
        <f t="shared" si="9"/>
        <v>0</v>
      </c>
      <c r="AY19">
        <f t="shared" si="9"/>
        <v>0</v>
      </c>
      <c r="BA19" s="971">
        <v>0</v>
      </c>
      <c r="BC19">
        <f t="shared" si="10"/>
        <v>0</v>
      </c>
      <c r="BF19">
        <v>0</v>
      </c>
      <c r="BG19" s="971"/>
      <c r="BK19" s="1240">
        <v>1.85185185185185E-2</v>
      </c>
      <c r="BL19" s="1240">
        <v>0</v>
      </c>
    </row>
    <row r="20" spans="1:64" x14ac:dyDescent="0.2">
      <c r="A20" s="968" t="s">
        <v>26</v>
      </c>
      <c r="B20" s="969">
        <v>2448</v>
      </c>
      <c r="C20" s="970">
        <f>VLOOKUP($B20,AWPU!$B:$L,9,FALSE)</f>
        <v>334</v>
      </c>
      <c r="D20" s="970">
        <f>VLOOKUP(B20,AWPU!B:L,10,FALSE)+VLOOKUP('2015 Factor % to units'!B20,AWPU!B:L,11,FALSE)</f>
        <v>0</v>
      </c>
      <c r="E20" s="971">
        <v>0.35463258785942492</v>
      </c>
      <c r="F20" s="971">
        <v>0</v>
      </c>
      <c r="G20" s="971">
        <f t="shared" si="0"/>
        <v>118.44728434504792</v>
      </c>
      <c r="H20" s="971">
        <f t="shared" si="0"/>
        <v>0</v>
      </c>
      <c r="K20" s="971">
        <v>0.119760479041916</v>
      </c>
      <c r="L20" s="971">
        <v>0</v>
      </c>
      <c r="M20" s="971">
        <v>4.7904191616766498E-2</v>
      </c>
      <c r="N20" s="971">
        <v>0</v>
      </c>
      <c r="O20" s="971">
        <v>0.20359281437125701</v>
      </c>
      <c r="P20" s="971">
        <v>0</v>
      </c>
      <c r="Q20" s="971">
        <v>9.8802395209580798E-2</v>
      </c>
      <c r="R20" s="971">
        <v>0</v>
      </c>
      <c r="S20" s="971">
        <v>7.1856287425149698E-2</v>
      </c>
      <c r="T20" s="971">
        <v>0</v>
      </c>
      <c r="U20" s="971">
        <v>0</v>
      </c>
      <c r="V20" s="971">
        <v>0</v>
      </c>
      <c r="X20" s="971">
        <f t="shared" si="1"/>
        <v>39.999999999999943</v>
      </c>
      <c r="Y20" s="971">
        <f t="shared" si="1"/>
        <v>0</v>
      </c>
      <c r="Z20" s="971">
        <f t="shared" si="2"/>
        <v>16.000000000000011</v>
      </c>
      <c r="AA20" s="971">
        <f t="shared" si="2"/>
        <v>0</v>
      </c>
      <c r="AB20" s="971">
        <f t="shared" si="3"/>
        <v>67.999999999999844</v>
      </c>
      <c r="AC20" s="971">
        <f t="shared" si="3"/>
        <v>0</v>
      </c>
      <c r="AD20" s="971">
        <f t="shared" si="4"/>
        <v>32.999999999999986</v>
      </c>
      <c r="AE20" s="971">
        <f t="shared" si="4"/>
        <v>0</v>
      </c>
      <c r="AF20" s="971">
        <f t="shared" si="5"/>
        <v>24</v>
      </c>
      <c r="AG20" s="971">
        <f t="shared" si="5"/>
        <v>0</v>
      </c>
      <c r="AH20" s="971">
        <f t="shared" si="6"/>
        <v>0</v>
      </c>
      <c r="AI20" s="971">
        <f t="shared" si="6"/>
        <v>0</v>
      </c>
      <c r="AL20" s="971">
        <v>9.0634441087613302E-3</v>
      </c>
      <c r="AM20" s="971">
        <v>0</v>
      </c>
      <c r="AO20">
        <f t="shared" si="7"/>
        <v>3.0271903323262843</v>
      </c>
      <c r="AP20">
        <f t="shared" si="7"/>
        <v>0</v>
      </c>
      <c r="AS20" s="972">
        <v>4.4910179640718598E-2</v>
      </c>
      <c r="AT20" s="972">
        <v>0</v>
      </c>
      <c r="AU20" s="972">
        <f t="shared" si="8"/>
        <v>-5.5089820359281408E-2</v>
      </c>
      <c r="AV20" s="987">
        <f t="shared" si="8"/>
        <v>-0.1</v>
      </c>
      <c r="AX20">
        <f t="shared" si="9"/>
        <v>0</v>
      </c>
      <c r="AY20">
        <f t="shared" si="9"/>
        <v>0</v>
      </c>
      <c r="BA20" s="971">
        <v>0</v>
      </c>
      <c r="BC20">
        <f t="shared" si="10"/>
        <v>0</v>
      </c>
      <c r="BF20">
        <v>0</v>
      </c>
      <c r="BG20" s="971"/>
      <c r="BK20" s="1240">
        <v>4.4910179640718598E-2</v>
      </c>
      <c r="BL20" s="1240">
        <v>0</v>
      </c>
    </row>
    <row r="21" spans="1:64" x14ac:dyDescent="0.2">
      <c r="A21" s="988" t="s">
        <v>126</v>
      </c>
      <c r="B21" s="989">
        <v>2467</v>
      </c>
      <c r="C21" s="970">
        <f>VLOOKUP($B21,AWPU!$B:$L,9,FALSE)</f>
        <v>349</v>
      </c>
      <c r="D21" s="970">
        <f>VLOOKUP(B21,AWPU!B:L,10,FALSE)+VLOOKUP('2015 Factor % to units'!B21,AWPU!B:L,11,FALSE)</f>
        <v>0</v>
      </c>
      <c r="E21" s="971">
        <v>0.27900552486187846</v>
      </c>
      <c r="F21" s="971">
        <v>0</v>
      </c>
      <c r="G21" s="971">
        <f t="shared" si="0"/>
        <v>97.372928176795583</v>
      </c>
      <c r="H21" s="971">
        <f t="shared" si="0"/>
        <v>0</v>
      </c>
      <c r="K21" s="971">
        <v>9.2219020172910698E-2</v>
      </c>
      <c r="L21" s="971">
        <v>0</v>
      </c>
      <c r="M21" s="971">
        <v>9.2219020172910698E-2</v>
      </c>
      <c r="N21" s="971">
        <v>0</v>
      </c>
      <c r="O21" s="971">
        <v>0.31412103746397702</v>
      </c>
      <c r="P21" s="971">
        <v>0</v>
      </c>
      <c r="Q21" s="971">
        <v>2.59365994236311E-2</v>
      </c>
      <c r="R21" s="971">
        <v>0</v>
      </c>
      <c r="S21" s="971">
        <v>6.6282420749279494E-2</v>
      </c>
      <c r="T21" s="971">
        <v>0</v>
      </c>
      <c r="U21" s="971">
        <v>5.7636887608069204E-3</v>
      </c>
      <c r="V21" s="971">
        <v>0</v>
      </c>
      <c r="X21" s="971">
        <f t="shared" si="1"/>
        <v>32.184438040345832</v>
      </c>
      <c r="Y21" s="971">
        <f t="shared" si="1"/>
        <v>0</v>
      </c>
      <c r="Z21" s="971">
        <f t="shared" si="2"/>
        <v>32.184438040345832</v>
      </c>
      <c r="AA21" s="971">
        <f t="shared" si="2"/>
        <v>0</v>
      </c>
      <c r="AB21" s="971">
        <f t="shared" si="3"/>
        <v>109.62824207492798</v>
      </c>
      <c r="AC21" s="971">
        <f t="shared" si="3"/>
        <v>0</v>
      </c>
      <c r="AD21" s="971">
        <f t="shared" si="4"/>
        <v>9.0518731988472538</v>
      </c>
      <c r="AE21" s="971">
        <f t="shared" si="4"/>
        <v>0</v>
      </c>
      <c r="AF21" s="971">
        <f t="shared" si="5"/>
        <v>23.132564841498542</v>
      </c>
      <c r="AG21" s="971">
        <f t="shared" si="5"/>
        <v>0</v>
      </c>
      <c r="AH21" s="971">
        <f t="shared" si="6"/>
        <v>2.0115273775216154</v>
      </c>
      <c r="AI21" s="971">
        <f t="shared" si="6"/>
        <v>0</v>
      </c>
      <c r="AL21" s="971">
        <v>1.94174757281553E-2</v>
      </c>
      <c r="AM21" s="971">
        <v>0</v>
      </c>
      <c r="AO21">
        <f t="shared" si="7"/>
        <v>6.7766990291261999</v>
      </c>
      <c r="AP21">
        <f t="shared" si="7"/>
        <v>0</v>
      </c>
      <c r="AS21" s="972">
        <v>3.7249283667621799E-2</v>
      </c>
      <c r="AT21" s="972">
        <v>0</v>
      </c>
      <c r="AU21" s="972">
        <f t="shared" si="8"/>
        <v>-6.2750716332378206E-2</v>
      </c>
      <c r="AV21" s="987">
        <f t="shared" si="8"/>
        <v>-0.1</v>
      </c>
      <c r="AX21">
        <f t="shared" si="9"/>
        <v>0</v>
      </c>
      <c r="AY21">
        <f t="shared" si="9"/>
        <v>0</v>
      </c>
      <c r="BA21" s="971">
        <v>0</v>
      </c>
      <c r="BC21">
        <f t="shared" si="10"/>
        <v>0</v>
      </c>
      <c r="BF21">
        <v>0</v>
      </c>
      <c r="BG21" s="971"/>
      <c r="BK21" s="1240">
        <v>3.7249283667621799E-2</v>
      </c>
      <c r="BL21" s="1240">
        <v>0</v>
      </c>
    </row>
    <row r="22" spans="1:64" x14ac:dyDescent="0.2">
      <c r="A22" s="990" t="s">
        <v>75</v>
      </c>
      <c r="B22" s="991">
        <v>5402</v>
      </c>
      <c r="C22" s="970">
        <f>VLOOKUP($B22,AWPU!$B:$L,9,FALSE)</f>
        <v>0</v>
      </c>
      <c r="D22" s="970">
        <f>VLOOKUP(B22,AWPU!B:L,10,FALSE)+VLOOKUP('2015 Factor % to units'!B22,AWPU!B:L,11,FALSE)</f>
        <v>1326</v>
      </c>
      <c r="E22" s="971">
        <v>0</v>
      </c>
      <c r="F22" s="971">
        <v>0.1548872180451128</v>
      </c>
      <c r="G22" s="971">
        <f t="shared" si="0"/>
        <v>0</v>
      </c>
      <c r="H22" s="971">
        <f t="shared" si="0"/>
        <v>205.38045112781955</v>
      </c>
      <c r="K22" s="971">
        <v>0</v>
      </c>
      <c r="L22" s="971">
        <v>9.0634441087613302E-3</v>
      </c>
      <c r="M22" s="971">
        <v>0</v>
      </c>
      <c r="N22" s="971">
        <v>0.115558912386707</v>
      </c>
      <c r="O22" s="971">
        <v>0</v>
      </c>
      <c r="P22" s="971">
        <v>6.0422960725075503E-3</v>
      </c>
      <c r="Q22" s="971">
        <v>0</v>
      </c>
      <c r="R22" s="971">
        <v>9.8187311178247697E-3</v>
      </c>
      <c r="S22" s="971">
        <v>0</v>
      </c>
      <c r="T22" s="971">
        <v>7.5528700906344398E-3</v>
      </c>
      <c r="U22" s="971">
        <v>0</v>
      </c>
      <c r="V22" s="971">
        <v>5.2870090634441098E-3</v>
      </c>
      <c r="X22" s="971">
        <f t="shared" si="1"/>
        <v>0</v>
      </c>
      <c r="Y22" s="971">
        <f t="shared" si="1"/>
        <v>12.018126888217523</v>
      </c>
      <c r="Z22" s="971">
        <f t="shared" si="2"/>
        <v>0</v>
      </c>
      <c r="AA22" s="971">
        <f t="shared" si="2"/>
        <v>153.23111782477349</v>
      </c>
      <c r="AB22" s="971">
        <f t="shared" si="3"/>
        <v>0</v>
      </c>
      <c r="AC22" s="971">
        <f t="shared" si="3"/>
        <v>8.0120845921450119</v>
      </c>
      <c r="AD22" s="971">
        <f t="shared" si="4"/>
        <v>0</v>
      </c>
      <c r="AE22" s="971">
        <f t="shared" si="4"/>
        <v>13.019637462235645</v>
      </c>
      <c r="AF22" s="971">
        <f t="shared" si="5"/>
        <v>0</v>
      </c>
      <c r="AG22" s="971">
        <f t="shared" si="5"/>
        <v>10.015105740181268</v>
      </c>
      <c r="AH22" s="971">
        <f t="shared" si="6"/>
        <v>0</v>
      </c>
      <c r="AI22" s="971">
        <f t="shared" si="6"/>
        <v>7.0105740181268894</v>
      </c>
      <c r="AL22" s="971">
        <v>0</v>
      </c>
      <c r="AM22" s="971">
        <v>1.0590015128593E-2</v>
      </c>
      <c r="AO22">
        <f t="shared" si="7"/>
        <v>0</v>
      </c>
      <c r="AP22">
        <f t="shared" si="7"/>
        <v>14.042360060514319</v>
      </c>
      <c r="AS22" s="972">
        <v>0</v>
      </c>
      <c r="AT22" s="972">
        <v>2.03619909502262E-2</v>
      </c>
      <c r="AU22" s="972">
        <f t="shared" si="8"/>
        <v>-0.1</v>
      </c>
      <c r="AV22" s="987">
        <f t="shared" si="8"/>
        <v>-7.9638009049773806E-2</v>
      </c>
      <c r="AX22">
        <f t="shared" si="9"/>
        <v>0</v>
      </c>
      <c r="AY22">
        <f t="shared" si="9"/>
        <v>0</v>
      </c>
      <c r="BA22" s="971">
        <v>6.7669172932330827E-3</v>
      </c>
      <c r="BC22">
        <f>BA22*D22</f>
        <v>8.9729323308270672</v>
      </c>
      <c r="BF22">
        <v>0.155693950177936</v>
      </c>
      <c r="BG22" s="971">
        <f>BF22*D22</f>
        <v>206.45017793594315</v>
      </c>
      <c r="BK22" s="1240">
        <v>0</v>
      </c>
      <c r="BL22" s="1240">
        <v>2.03619909502262E-2</v>
      </c>
    </row>
    <row r="23" spans="1:64" x14ac:dyDescent="0.2">
      <c r="A23" s="968" t="s">
        <v>28</v>
      </c>
      <c r="B23" s="969">
        <v>2455</v>
      </c>
      <c r="C23" s="970">
        <f>VLOOKUP($B23,AWPU!$B:$L,9,FALSE)</f>
        <v>351</v>
      </c>
      <c r="D23" s="970">
        <f>VLOOKUP(B23,AWPU!B:L,10,FALSE)+VLOOKUP('2015 Factor % to units'!B23,AWPU!B:L,11,FALSE)</f>
        <v>0</v>
      </c>
      <c r="E23" s="971">
        <v>0.13966480446927373</v>
      </c>
      <c r="F23" s="971">
        <v>0</v>
      </c>
      <c r="G23" s="971">
        <f t="shared" si="0"/>
        <v>49.022346368715084</v>
      </c>
      <c r="H23" s="971">
        <f t="shared" si="0"/>
        <v>0</v>
      </c>
      <c r="K23" s="971">
        <v>8.5959885386819503E-3</v>
      </c>
      <c r="L23" s="971">
        <v>0</v>
      </c>
      <c r="M23" s="971">
        <v>0.229226361031519</v>
      </c>
      <c r="N23" s="971">
        <v>0</v>
      </c>
      <c r="O23" s="971">
        <v>8.5959885386819503E-3</v>
      </c>
      <c r="P23" s="971">
        <v>0</v>
      </c>
      <c r="Q23" s="971">
        <v>1.7191977077363901E-2</v>
      </c>
      <c r="R23" s="971">
        <v>0</v>
      </c>
      <c r="S23" s="971">
        <v>8.5959885386819503E-3</v>
      </c>
      <c r="T23" s="971">
        <v>0</v>
      </c>
      <c r="U23" s="971">
        <v>8.5959885386819503E-3</v>
      </c>
      <c r="V23" s="971">
        <v>0</v>
      </c>
      <c r="X23" s="971">
        <f t="shared" si="1"/>
        <v>3.0171919770773648</v>
      </c>
      <c r="Y23" s="971">
        <f t="shared" si="1"/>
        <v>0</v>
      </c>
      <c r="Z23" s="971">
        <f t="shared" si="2"/>
        <v>80.458452722063171</v>
      </c>
      <c r="AA23" s="971">
        <f t="shared" si="2"/>
        <v>0</v>
      </c>
      <c r="AB23" s="971">
        <f t="shared" si="3"/>
        <v>3.0171919770773648</v>
      </c>
      <c r="AC23" s="971">
        <f t="shared" si="3"/>
        <v>0</v>
      </c>
      <c r="AD23" s="971">
        <f t="shared" si="4"/>
        <v>6.0343839541547295</v>
      </c>
      <c r="AE23" s="971">
        <f t="shared" si="4"/>
        <v>0</v>
      </c>
      <c r="AF23" s="971">
        <f t="shared" si="5"/>
        <v>3.0171919770773648</v>
      </c>
      <c r="AG23" s="971">
        <f t="shared" si="5"/>
        <v>0</v>
      </c>
      <c r="AH23" s="971">
        <f t="shared" si="6"/>
        <v>3.0171919770773648</v>
      </c>
      <c r="AI23" s="971">
        <f t="shared" si="6"/>
        <v>0</v>
      </c>
      <c r="AL23" s="971">
        <v>4.7008547008547001E-2</v>
      </c>
      <c r="AM23" s="971">
        <v>0</v>
      </c>
      <c r="AO23">
        <f t="shared" si="7"/>
        <v>16.499999999999996</v>
      </c>
      <c r="AP23">
        <f t="shared" si="7"/>
        <v>0</v>
      </c>
      <c r="AS23" s="972">
        <v>2.27920227920228E-2</v>
      </c>
      <c r="AT23" s="972">
        <v>0</v>
      </c>
      <c r="AU23" s="972">
        <f t="shared" si="8"/>
        <v>-7.7207977207977202E-2</v>
      </c>
      <c r="AV23" s="987">
        <f t="shared" si="8"/>
        <v>-0.1</v>
      </c>
      <c r="AX23">
        <f t="shared" si="9"/>
        <v>0</v>
      </c>
      <c r="AY23">
        <f t="shared" si="9"/>
        <v>0</v>
      </c>
      <c r="BA23" s="971">
        <v>2.7932960893854749E-3</v>
      </c>
      <c r="BC23">
        <f>BA23*C23</f>
        <v>0.98044692737430172</v>
      </c>
      <c r="BF23">
        <v>0</v>
      </c>
      <c r="BG23" s="971"/>
      <c r="BK23" s="1240">
        <v>2.27920227920228E-2</v>
      </c>
      <c r="BL23" s="1240">
        <v>0</v>
      </c>
    </row>
    <row r="24" spans="1:64" x14ac:dyDescent="0.2">
      <c r="A24" s="968" t="s">
        <v>29</v>
      </c>
      <c r="B24" s="969">
        <v>5203</v>
      </c>
      <c r="C24" s="970">
        <f>VLOOKUP($B24,AWPU!$B:$L,9,FALSE)</f>
        <v>485</v>
      </c>
      <c r="D24" s="970">
        <f>VLOOKUP(B24,AWPU!B:L,10,FALSE)+VLOOKUP('2015 Factor % to units'!B24,AWPU!B:L,11,FALSE)</f>
        <v>0</v>
      </c>
      <c r="E24" s="971">
        <v>0.19542619542619544</v>
      </c>
      <c r="F24" s="971">
        <v>0</v>
      </c>
      <c r="G24" s="971">
        <f t="shared" si="0"/>
        <v>94.781704781704789</v>
      </c>
      <c r="H24" s="971">
        <f t="shared" si="0"/>
        <v>0</v>
      </c>
      <c r="K24" s="971">
        <v>6.23700623700624E-3</v>
      </c>
      <c r="L24" s="971">
        <v>0</v>
      </c>
      <c r="M24" s="971">
        <v>0.22869022869022901</v>
      </c>
      <c r="N24" s="971">
        <v>0</v>
      </c>
      <c r="O24" s="971">
        <v>0</v>
      </c>
      <c r="P24" s="971">
        <v>0</v>
      </c>
      <c r="Q24" s="971">
        <v>2.2869022869022902E-2</v>
      </c>
      <c r="R24" s="971">
        <v>0</v>
      </c>
      <c r="S24" s="971">
        <v>1.6632016632016602E-2</v>
      </c>
      <c r="T24" s="971">
        <v>0</v>
      </c>
      <c r="U24" s="971">
        <v>6.23700623700624E-3</v>
      </c>
      <c r="V24" s="971">
        <v>0</v>
      </c>
      <c r="X24" s="971">
        <f t="shared" si="1"/>
        <v>3.0249480249480265</v>
      </c>
      <c r="Y24" s="971">
        <f t="shared" si="1"/>
        <v>0</v>
      </c>
      <c r="Z24" s="971">
        <f t="shared" si="2"/>
        <v>110.91476091476108</v>
      </c>
      <c r="AA24" s="971">
        <f t="shared" si="2"/>
        <v>0</v>
      </c>
      <c r="AB24" s="971">
        <f t="shared" si="3"/>
        <v>0</v>
      </c>
      <c r="AC24" s="971">
        <f t="shared" si="3"/>
        <v>0</v>
      </c>
      <c r="AD24" s="971">
        <f t="shared" si="4"/>
        <v>11.091476091476107</v>
      </c>
      <c r="AE24" s="971">
        <f t="shared" si="4"/>
        <v>0</v>
      </c>
      <c r="AF24" s="971">
        <f t="shared" si="5"/>
        <v>8.0665280665280523</v>
      </c>
      <c r="AG24" s="971">
        <f t="shared" si="5"/>
        <v>0</v>
      </c>
      <c r="AH24" s="971">
        <f t="shared" si="6"/>
        <v>3.0249480249480265</v>
      </c>
      <c r="AI24" s="971">
        <f t="shared" si="6"/>
        <v>0</v>
      </c>
      <c r="AL24" s="971">
        <v>2.2774327122153201E-2</v>
      </c>
      <c r="AM24" s="971">
        <v>0</v>
      </c>
      <c r="AO24">
        <f t="shared" si="7"/>
        <v>11.045548654244303</v>
      </c>
      <c r="AP24">
        <f t="shared" si="7"/>
        <v>0</v>
      </c>
      <c r="AS24" s="972">
        <v>4.1237113402061903E-2</v>
      </c>
      <c r="AT24" s="972">
        <v>0</v>
      </c>
      <c r="AU24" s="972">
        <f t="shared" si="8"/>
        <v>-5.8762886597938102E-2</v>
      </c>
      <c r="AV24" s="987">
        <f t="shared" si="8"/>
        <v>-0.1</v>
      </c>
      <c r="AX24">
        <f t="shared" si="9"/>
        <v>0</v>
      </c>
      <c r="AY24">
        <f t="shared" si="9"/>
        <v>0</v>
      </c>
      <c r="BA24" s="971">
        <v>4.1580041580041582E-3</v>
      </c>
      <c r="BC24">
        <f>BA24*C24</f>
        <v>2.0166320166320166</v>
      </c>
      <c r="BF24">
        <v>0</v>
      </c>
      <c r="BG24" s="971"/>
      <c r="BK24" s="1240">
        <v>4.1237113402061903E-2</v>
      </c>
      <c r="BL24" s="1240">
        <v>0</v>
      </c>
    </row>
    <row r="25" spans="1:64" x14ac:dyDescent="0.2">
      <c r="A25" s="968" t="s">
        <v>30</v>
      </c>
      <c r="B25" s="969">
        <v>2451</v>
      </c>
      <c r="C25" s="970">
        <f>VLOOKUP($B25,AWPU!$B:$L,9,FALSE)</f>
        <v>472</v>
      </c>
      <c r="D25" s="970">
        <f>VLOOKUP(B25,AWPU!B:L,10,FALSE)+VLOOKUP('2015 Factor % to units'!B25,AWPU!B:L,11,FALSE)</f>
        <v>0</v>
      </c>
      <c r="E25" s="971">
        <v>0.19616204690831557</v>
      </c>
      <c r="F25" s="971">
        <v>0</v>
      </c>
      <c r="G25" s="971">
        <f t="shared" si="0"/>
        <v>92.588486140724953</v>
      </c>
      <c r="H25" s="971">
        <f t="shared" si="0"/>
        <v>0</v>
      </c>
      <c r="K25" s="971">
        <v>6.5677966101694907E-2</v>
      </c>
      <c r="L25" s="971">
        <v>0</v>
      </c>
      <c r="M25" s="971">
        <v>0.24788135593220301</v>
      </c>
      <c r="N25" s="971">
        <v>0</v>
      </c>
      <c r="O25" s="971">
        <v>0.16313559322033899</v>
      </c>
      <c r="P25" s="971">
        <v>0</v>
      </c>
      <c r="Q25" s="971">
        <v>8.4745762711864406E-3</v>
      </c>
      <c r="R25" s="971">
        <v>0</v>
      </c>
      <c r="S25" s="971">
        <v>2.1186440677966101E-2</v>
      </c>
      <c r="T25" s="971">
        <v>0</v>
      </c>
      <c r="U25" s="971">
        <v>0</v>
      </c>
      <c r="V25" s="971">
        <v>0</v>
      </c>
      <c r="X25" s="971">
        <f t="shared" si="1"/>
        <v>30.999999999999996</v>
      </c>
      <c r="Y25" s="971">
        <f t="shared" si="1"/>
        <v>0</v>
      </c>
      <c r="Z25" s="971">
        <f t="shared" si="2"/>
        <v>116.99999999999982</v>
      </c>
      <c r="AA25" s="971">
        <f t="shared" si="2"/>
        <v>0</v>
      </c>
      <c r="AB25" s="971">
        <f t="shared" si="3"/>
        <v>77</v>
      </c>
      <c r="AC25" s="971">
        <f t="shared" si="3"/>
        <v>0</v>
      </c>
      <c r="AD25" s="971">
        <f t="shared" si="4"/>
        <v>4</v>
      </c>
      <c r="AE25" s="971">
        <f t="shared" si="4"/>
        <v>0</v>
      </c>
      <c r="AF25" s="971">
        <f t="shared" si="5"/>
        <v>10</v>
      </c>
      <c r="AG25" s="971">
        <f t="shared" si="5"/>
        <v>0</v>
      </c>
      <c r="AH25" s="971">
        <f t="shared" si="6"/>
        <v>0</v>
      </c>
      <c r="AI25" s="971">
        <f t="shared" si="6"/>
        <v>0</v>
      </c>
      <c r="AL25" s="971">
        <v>1.5151515151515201E-2</v>
      </c>
      <c r="AM25" s="971">
        <v>0</v>
      </c>
      <c r="AO25">
        <f t="shared" si="7"/>
        <v>7.1515151515151745</v>
      </c>
      <c r="AP25">
        <f t="shared" si="7"/>
        <v>0</v>
      </c>
      <c r="AS25" s="972">
        <v>4.4491525423728799E-2</v>
      </c>
      <c r="AT25" s="972">
        <v>0</v>
      </c>
      <c r="AU25" s="972">
        <f t="shared" si="8"/>
        <v>-5.5508474576271206E-2</v>
      </c>
      <c r="AV25" s="987">
        <f t="shared" si="8"/>
        <v>-0.1</v>
      </c>
      <c r="AX25">
        <f t="shared" si="9"/>
        <v>0</v>
      </c>
      <c r="AY25">
        <f t="shared" si="9"/>
        <v>0</v>
      </c>
      <c r="BA25" s="971">
        <v>2.1321961620469083E-3</v>
      </c>
      <c r="BC25">
        <f>BA25*C25</f>
        <v>1.0063965884861408</v>
      </c>
      <c r="BF25">
        <v>0</v>
      </c>
      <c r="BG25" s="971"/>
      <c r="BK25" s="1240">
        <v>4.4491525423728799E-2</v>
      </c>
      <c r="BL25" s="1240">
        <v>0</v>
      </c>
    </row>
    <row r="26" spans="1:64" x14ac:dyDescent="0.2">
      <c r="A26" s="968" t="s">
        <v>68</v>
      </c>
      <c r="B26" s="969">
        <v>4608</v>
      </c>
      <c r="C26" s="970">
        <f>VLOOKUP($B26,AWPU!$B:$L,9,FALSE)</f>
        <v>0</v>
      </c>
      <c r="D26" s="970">
        <f>VLOOKUP(B26,AWPU!B:L,10,FALSE)+VLOOKUP('2015 Factor % to units'!B26,AWPU!B:L,11,FALSE)</f>
        <v>554</v>
      </c>
      <c r="E26" s="971">
        <v>0</v>
      </c>
      <c r="F26" s="971">
        <v>0.57636363636363641</v>
      </c>
      <c r="G26" s="971">
        <f t="shared" si="0"/>
        <v>0</v>
      </c>
      <c r="H26" s="971">
        <f t="shared" si="0"/>
        <v>319.30545454545455</v>
      </c>
      <c r="K26" s="971">
        <v>0</v>
      </c>
      <c r="L26" s="971">
        <v>0.113924050632911</v>
      </c>
      <c r="M26" s="971">
        <v>0</v>
      </c>
      <c r="N26" s="971">
        <v>0.11211573236889701</v>
      </c>
      <c r="O26" s="971">
        <v>0</v>
      </c>
      <c r="P26" s="971">
        <v>0.10307414104882499</v>
      </c>
      <c r="Q26" s="971">
        <v>0</v>
      </c>
      <c r="R26" s="971">
        <v>7.9566003616636502E-2</v>
      </c>
      <c r="S26" s="971">
        <v>0</v>
      </c>
      <c r="T26" s="971">
        <v>0.40687160940325501</v>
      </c>
      <c r="U26" s="971">
        <v>0</v>
      </c>
      <c r="V26" s="971">
        <v>1.26582278481013E-2</v>
      </c>
      <c r="X26" s="971">
        <f t="shared" si="1"/>
        <v>0</v>
      </c>
      <c r="Y26" s="971">
        <f t="shared" si="1"/>
        <v>63.113924050632697</v>
      </c>
      <c r="Z26" s="971">
        <f t="shared" si="2"/>
        <v>0</v>
      </c>
      <c r="AA26" s="971">
        <f t="shared" si="2"/>
        <v>62.112115732368942</v>
      </c>
      <c r="AB26" s="971">
        <f t="shared" si="3"/>
        <v>0</v>
      </c>
      <c r="AC26" s="971">
        <f t="shared" si="3"/>
        <v>57.103074141049049</v>
      </c>
      <c r="AD26" s="971">
        <f t="shared" si="4"/>
        <v>0</v>
      </c>
      <c r="AE26" s="971">
        <f t="shared" si="4"/>
        <v>44.07956600361662</v>
      </c>
      <c r="AF26" s="971">
        <f t="shared" si="5"/>
        <v>0</v>
      </c>
      <c r="AG26" s="971">
        <f t="shared" si="5"/>
        <v>225.40687160940328</v>
      </c>
      <c r="AH26" s="971">
        <f t="shared" si="6"/>
        <v>0</v>
      </c>
      <c r="AI26" s="971">
        <f t="shared" si="6"/>
        <v>7.01265822784812</v>
      </c>
      <c r="AL26" s="971">
        <v>0</v>
      </c>
      <c r="AM26" s="971">
        <v>2.3465703971119099E-2</v>
      </c>
      <c r="AO26">
        <f t="shared" si="7"/>
        <v>0</v>
      </c>
      <c r="AP26">
        <f t="shared" si="7"/>
        <v>12.99999999999998</v>
      </c>
      <c r="AS26" s="972">
        <v>0</v>
      </c>
      <c r="AT26" s="972">
        <v>8.1227436823104696E-2</v>
      </c>
      <c r="AU26" s="972">
        <f t="shared" si="8"/>
        <v>-0.1</v>
      </c>
      <c r="AV26" s="987">
        <f t="shared" si="8"/>
        <v>-1.877256317689531E-2</v>
      </c>
      <c r="AX26">
        <f t="shared" si="9"/>
        <v>0</v>
      </c>
      <c r="AY26">
        <f t="shared" si="9"/>
        <v>0</v>
      </c>
      <c r="BA26" s="971">
        <v>7.2727272727272727E-3</v>
      </c>
      <c r="BC26">
        <f>BA26*D26</f>
        <v>4.0290909090909093</v>
      </c>
      <c r="BF26">
        <v>0.35573122529644302</v>
      </c>
      <c r="BG26" s="971">
        <f>BF26*D26</f>
        <v>197.07509881422942</v>
      </c>
      <c r="BK26" s="1240">
        <v>0</v>
      </c>
      <c r="BL26" s="1240">
        <v>8.1227436823104696E-2</v>
      </c>
    </row>
    <row r="27" spans="1:64" x14ac:dyDescent="0.2">
      <c r="A27" s="968" t="s">
        <v>31</v>
      </c>
      <c r="B27" s="969">
        <v>2409</v>
      </c>
      <c r="C27" s="970">
        <f>VLOOKUP($B27,AWPU!$B:$L,9,FALSE)</f>
        <v>552</v>
      </c>
      <c r="D27" s="970">
        <f>VLOOKUP(B27,AWPU!B:L,10,FALSE)+VLOOKUP('2015 Factor % to units'!B27,AWPU!B:L,11,FALSE)</f>
        <v>0</v>
      </c>
      <c r="E27" s="971">
        <v>0.32789855072463769</v>
      </c>
      <c r="F27" s="971">
        <v>0</v>
      </c>
      <c r="G27" s="971">
        <f t="shared" si="0"/>
        <v>181</v>
      </c>
      <c r="H27" s="971">
        <f t="shared" si="0"/>
        <v>0</v>
      </c>
      <c r="K27" s="971">
        <v>1.8115942028985501E-3</v>
      </c>
      <c r="L27" s="971">
        <v>0</v>
      </c>
      <c r="M27" s="971">
        <v>0.126811594202899</v>
      </c>
      <c r="N27" s="971">
        <v>0</v>
      </c>
      <c r="O27" s="971">
        <v>0.50543478260869601</v>
      </c>
      <c r="P27" s="971">
        <v>0</v>
      </c>
      <c r="Q27" s="971">
        <v>5.9782608695652197E-2</v>
      </c>
      <c r="R27" s="971">
        <v>0</v>
      </c>
      <c r="S27" s="971">
        <v>2.5362318840579701E-2</v>
      </c>
      <c r="T27" s="971">
        <v>0</v>
      </c>
      <c r="U27" s="971">
        <v>5.4347826086956503E-3</v>
      </c>
      <c r="V27" s="971">
        <v>0</v>
      </c>
      <c r="X27" s="971">
        <f t="shared" si="1"/>
        <v>0.99999999999999967</v>
      </c>
      <c r="Y27" s="971">
        <f t="shared" si="1"/>
        <v>0</v>
      </c>
      <c r="Z27" s="971">
        <f t="shared" si="2"/>
        <v>70.000000000000256</v>
      </c>
      <c r="AA27" s="971">
        <f t="shared" si="2"/>
        <v>0</v>
      </c>
      <c r="AB27" s="971">
        <f t="shared" si="3"/>
        <v>279.00000000000017</v>
      </c>
      <c r="AC27" s="971">
        <f t="shared" si="3"/>
        <v>0</v>
      </c>
      <c r="AD27" s="971">
        <f t="shared" si="4"/>
        <v>33.000000000000014</v>
      </c>
      <c r="AE27" s="971">
        <f t="shared" si="4"/>
        <v>0</v>
      </c>
      <c r="AF27" s="971">
        <f t="shared" si="5"/>
        <v>13.999999999999995</v>
      </c>
      <c r="AG27" s="971">
        <f t="shared" si="5"/>
        <v>0</v>
      </c>
      <c r="AH27" s="971">
        <f t="shared" si="6"/>
        <v>2.9999999999999991</v>
      </c>
      <c r="AI27" s="971">
        <f t="shared" si="6"/>
        <v>0</v>
      </c>
      <c r="AL27" s="971">
        <v>0.341772151898734</v>
      </c>
      <c r="AM27" s="971">
        <v>0</v>
      </c>
      <c r="AO27">
        <f t="shared" si="7"/>
        <v>188.65822784810118</v>
      </c>
      <c r="AP27">
        <f t="shared" si="7"/>
        <v>0</v>
      </c>
      <c r="AS27" s="972">
        <v>0.103260869565217</v>
      </c>
      <c r="AT27" s="972">
        <v>0</v>
      </c>
      <c r="AU27" s="972">
        <f t="shared" si="8"/>
        <v>3.2608695652169978E-3</v>
      </c>
      <c r="AV27" s="987">
        <f t="shared" si="8"/>
        <v>-0.1</v>
      </c>
      <c r="AX27">
        <f t="shared" si="9"/>
        <v>1.7999999999997827</v>
      </c>
      <c r="AY27">
        <f t="shared" si="9"/>
        <v>0</v>
      </c>
      <c r="BA27" s="971">
        <v>0</v>
      </c>
      <c r="BC27">
        <f>BA27*C27</f>
        <v>0</v>
      </c>
      <c r="BF27">
        <v>0</v>
      </c>
      <c r="BG27" s="971"/>
      <c r="BK27" s="1240">
        <v>0.103260869565217</v>
      </c>
      <c r="BL27" s="1240">
        <v>0</v>
      </c>
    </row>
    <row r="28" spans="1:64" x14ac:dyDescent="0.2">
      <c r="A28" s="968" t="s">
        <v>111</v>
      </c>
      <c r="B28" s="969">
        <v>4178</v>
      </c>
      <c r="C28" s="970">
        <f>VLOOKUP($B28,AWPU!$B:$L,9,FALSE)</f>
        <v>0</v>
      </c>
      <c r="D28" s="970">
        <f>VLOOKUP(B28,AWPU!B:L,10,FALSE)+VLOOKUP('2015 Factor % to units'!B28,AWPU!B:L,11,FALSE)</f>
        <v>1308</v>
      </c>
      <c r="E28" s="971">
        <v>0</v>
      </c>
      <c r="F28" s="971">
        <v>0.40333586050037906</v>
      </c>
      <c r="G28" s="971">
        <f t="shared" si="0"/>
        <v>0</v>
      </c>
      <c r="H28" s="971">
        <f t="shared" si="0"/>
        <v>527.56330553449584</v>
      </c>
      <c r="K28" s="971">
        <v>0</v>
      </c>
      <c r="L28" s="971">
        <v>4.5314900153609797E-2</v>
      </c>
      <c r="M28" s="971">
        <v>0</v>
      </c>
      <c r="N28" s="971">
        <v>5.4531490015360999E-2</v>
      </c>
      <c r="O28" s="971">
        <v>0</v>
      </c>
      <c r="P28" s="971">
        <v>0.33794162826420898</v>
      </c>
      <c r="Q28" s="971">
        <v>0</v>
      </c>
      <c r="R28" s="971">
        <v>0.14900153609830999</v>
      </c>
      <c r="S28" s="971">
        <v>0</v>
      </c>
      <c r="T28" s="971">
        <v>5.7603686635944701E-2</v>
      </c>
      <c r="U28" s="971">
        <v>0</v>
      </c>
      <c r="V28" s="971">
        <v>6.3748079877112104E-2</v>
      </c>
      <c r="X28" s="971">
        <f t="shared" si="1"/>
        <v>0</v>
      </c>
      <c r="Y28" s="971">
        <f t="shared" si="1"/>
        <v>59.271889400921616</v>
      </c>
      <c r="Z28" s="971">
        <f t="shared" si="2"/>
        <v>0</v>
      </c>
      <c r="AA28" s="971">
        <f t="shared" si="2"/>
        <v>71.327188940092185</v>
      </c>
      <c r="AB28" s="971">
        <f t="shared" si="3"/>
        <v>0</v>
      </c>
      <c r="AC28" s="971">
        <f t="shared" si="3"/>
        <v>442.02764976958537</v>
      </c>
      <c r="AD28" s="971">
        <f t="shared" si="4"/>
        <v>0</v>
      </c>
      <c r="AE28" s="971">
        <f t="shared" si="4"/>
        <v>194.89400921658947</v>
      </c>
      <c r="AF28" s="971">
        <f t="shared" si="5"/>
        <v>0</v>
      </c>
      <c r="AG28" s="971">
        <f t="shared" si="5"/>
        <v>75.345622119815673</v>
      </c>
      <c r="AH28" s="971">
        <f t="shared" si="6"/>
        <v>0</v>
      </c>
      <c r="AI28" s="971">
        <f t="shared" si="6"/>
        <v>83.382488479262634</v>
      </c>
      <c r="AL28" s="971">
        <v>0</v>
      </c>
      <c r="AM28" s="971">
        <v>3.6923076923076899E-2</v>
      </c>
      <c r="AO28">
        <f t="shared" si="7"/>
        <v>0</v>
      </c>
      <c r="AP28">
        <f t="shared" si="7"/>
        <v>48.295384615384584</v>
      </c>
      <c r="AS28" s="972">
        <v>0</v>
      </c>
      <c r="AT28" s="972">
        <v>6.6513761467889898E-2</v>
      </c>
      <c r="AU28" s="972">
        <f t="shared" si="8"/>
        <v>-0.1</v>
      </c>
      <c r="AV28" s="987">
        <f t="shared" si="8"/>
        <v>-3.3486238532110107E-2</v>
      </c>
      <c r="AX28">
        <f t="shared" si="9"/>
        <v>0</v>
      </c>
      <c r="AY28">
        <f t="shared" si="9"/>
        <v>0</v>
      </c>
      <c r="BA28" s="971">
        <v>6.0652009097801364E-3</v>
      </c>
      <c r="BC28">
        <f>BA28*D28</f>
        <v>7.9332827899924183</v>
      </c>
      <c r="BF28">
        <v>0.26098191214470301</v>
      </c>
      <c r="BG28" s="971">
        <f>BF28*D28</f>
        <v>341.36434108527152</v>
      </c>
      <c r="BK28" s="1240">
        <v>0</v>
      </c>
      <c r="BL28" s="1240">
        <v>6.6513761467889898E-2</v>
      </c>
    </row>
    <row r="29" spans="1:64" x14ac:dyDescent="0.2">
      <c r="A29" s="968" t="s">
        <v>98</v>
      </c>
      <c r="B29" s="969">
        <v>3158</v>
      </c>
      <c r="C29" s="970">
        <f>VLOOKUP($B29,AWPU!$B:$L,9,FALSE)</f>
        <v>120</v>
      </c>
      <c r="D29" s="970">
        <f>VLOOKUP(B29,AWPU!B:L,10,FALSE)+VLOOKUP('2015 Factor % to units'!B29,AWPU!B:L,11,FALSE)</f>
        <v>0</v>
      </c>
      <c r="E29" s="971">
        <v>0.31304347826086959</v>
      </c>
      <c r="F29" s="971">
        <v>0</v>
      </c>
      <c r="G29" s="971">
        <f t="shared" si="0"/>
        <v>37.565217391304351</v>
      </c>
      <c r="H29" s="971">
        <f t="shared" si="0"/>
        <v>0</v>
      </c>
      <c r="K29" s="971">
        <v>0</v>
      </c>
      <c r="L29" s="971">
        <v>0</v>
      </c>
      <c r="M29" s="971">
        <v>0.66666666666666696</v>
      </c>
      <c r="N29" s="971">
        <v>0</v>
      </c>
      <c r="O29" s="971">
        <v>0.15833333333333299</v>
      </c>
      <c r="P29" s="971">
        <v>0</v>
      </c>
      <c r="Q29" s="971">
        <v>0.15</v>
      </c>
      <c r="R29" s="971">
        <v>0</v>
      </c>
      <c r="S29" s="971">
        <v>8.3333333333333297E-3</v>
      </c>
      <c r="T29" s="971">
        <v>0</v>
      </c>
      <c r="U29" s="971">
        <v>0</v>
      </c>
      <c r="V29" s="971">
        <v>0</v>
      </c>
      <c r="X29" s="971">
        <f t="shared" si="1"/>
        <v>0</v>
      </c>
      <c r="Y29" s="971">
        <f t="shared" si="1"/>
        <v>0</v>
      </c>
      <c r="Z29" s="971">
        <f t="shared" si="2"/>
        <v>80.000000000000028</v>
      </c>
      <c r="AA29" s="971">
        <f t="shared" si="2"/>
        <v>0</v>
      </c>
      <c r="AB29" s="971">
        <f t="shared" si="3"/>
        <v>18.999999999999957</v>
      </c>
      <c r="AC29" s="971">
        <f t="shared" si="3"/>
        <v>0</v>
      </c>
      <c r="AD29" s="971">
        <f t="shared" si="4"/>
        <v>18</v>
      </c>
      <c r="AE29" s="971">
        <f t="shared" si="4"/>
        <v>0</v>
      </c>
      <c r="AF29" s="971">
        <f t="shared" si="5"/>
        <v>0.99999999999999956</v>
      </c>
      <c r="AG29" s="971">
        <f t="shared" si="5"/>
        <v>0</v>
      </c>
      <c r="AH29" s="971">
        <f t="shared" si="6"/>
        <v>0</v>
      </c>
      <c r="AI29" s="971">
        <f t="shared" si="6"/>
        <v>0</v>
      </c>
      <c r="AL29" s="971">
        <v>0.91249999999999998</v>
      </c>
      <c r="AM29" s="971">
        <v>0</v>
      </c>
      <c r="AO29">
        <f t="shared" si="7"/>
        <v>109.5</v>
      </c>
      <c r="AP29">
        <f t="shared" si="7"/>
        <v>0</v>
      </c>
      <c r="AS29" s="972">
        <v>5.83333333333333E-2</v>
      </c>
      <c r="AT29" s="972">
        <v>0</v>
      </c>
      <c r="AU29" s="972">
        <f t="shared" si="8"/>
        <v>-4.1666666666666706E-2</v>
      </c>
      <c r="AV29" s="987">
        <f t="shared" si="8"/>
        <v>-0.1</v>
      </c>
      <c r="AX29">
        <f t="shared" si="9"/>
        <v>0</v>
      </c>
      <c r="AY29">
        <f t="shared" si="9"/>
        <v>0</v>
      </c>
      <c r="BA29" s="971">
        <v>0</v>
      </c>
      <c r="BC29">
        <f t="shared" ref="BC29:BC38" si="11">BA29*C29</f>
        <v>0</v>
      </c>
      <c r="BF29">
        <v>0</v>
      </c>
      <c r="BG29" s="971"/>
      <c r="BK29" s="1240">
        <v>5.83333333333333E-2</v>
      </c>
      <c r="BL29" s="1240">
        <v>0</v>
      </c>
    </row>
    <row r="30" spans="1:64" x14ac:dyDescent="0.2">
      <c r="A30" s="968" t="s">
        <v>32</v>
      </c>
      <c r="B30" s="969">
        <v>2619</v>
      </c>
      <c r="C30" s="970">
        <f>VLOOKUP($B30,AWPU!$B:$L,9,FALSE)</f>
        <v>204</v>
      </c>
      <c r="D30" s="970">
        <f>VLOOKUP(B30,AWPU!B:L,10,FALSE)+VLOOKUP('2015 Factor % to units'!B30,AWPU!B:L,11,FALSE)</f>
        <v>0</v>
      </c>
      <c r="E30" s="971">
        <v>0.625</v>
      </c>
      <c r="F30" s="971">
        <v>0</v>
      </c>
      <c r="G30" s="971">
        <f t="shared" si="0"/>
        <v>127.5</v>
      </c>
      <c r="H30" s="971">
        <f t="shared" si="0"/>
        <v>0</v>
      </c>
      <c r="K30" s="971">
        <v>2.48756218905473E-2</v>
      </c>
      <c r="L30" s="971">
        <v>0</v>
      </c>
      <c r="M30" s="971">
        <v>2.48756218905473E-2</v>
      </c>
      <c r="N30" s="971">
        <v>0</v>
      </c>
      <c r="O30" s="971">
        <v>0.19402985074626899</v>
      </c>
      <c r="P30" s="971">
        <v>0</v>
      </c>
      <c r="Q30" s="971">
        <v>4.97512437810945E-3</v>
      </c>
      <c r="R30" s="971">
        <v>0</v>
      </c>
      <c r="S30" s="971">
        <v>0.74129353233830797</v>
      </c>
      <c r="T30" s="971">
        <v>0</v>
      </c>
      <c r="U30" s="971">
        <v>0</v>
      </c>
      <c r="V30" s="971">
        <v>0</v>
      </c>
      <c r="X30" s="971">
        <f t="shared" si="1"/>
        <v>5.0746268656716493</v>
      </c>
      <c r="Y30" s="971">
        <f t="shared" si="1"/>
        <v>0</v>
      </c>
      <c r="Z30" s="971">
        <f t="shared" si="2"/>
        <v>5.0746268656716493</v>
      </c>
      <c r="AA30" s="971">
        <f t="shared" si="2"/>
        <v>0</v>
      </c>
      <c r="AB30" s="971">
        <f t="shared" si="3"/>
        <v>39.582089552238877</v>
      </c>
      <c r="AC30" s="971">
        <f t="shared" si="3"/>
        <v>0</v>
      </c>
      <c r="AD30" s="971">
        <f t="shared" si="4"/>
        <v>1.0149253731343277</v>
      </c>
      <c r="AE30" s="971">
        <f t="shared" si="4"/>
        <v>0</v>
      </c>
      <c r="AF30" s="971">
        <f t="shared" si="5"/>
        <v>151.22388059701481</v>
      </c>
      <c r="AG30" s="971">
        <f t="shared" si="5"/>
        <v>0</v>
      </c>
      <c r="AH30" s="971">
        <f t="shared" si="6"/>
        <v>0</v>
      </c>
      <c r="AI30" s="971">
        <f t="shared" si="6"/>
        <v>0</v>
      </c>
      <c r="AL30" s="971">
        <v>7.0175438596491196E-2</v>
      </c>
      <c r="AM30" s="971">
        <v>0</v>
      </c>
      <c r="AO30">
        <f t="shared" si="7"/>
        <v>14.315789473684204</v>
      </c>
      <c r="AP30">
        <f t="shared" si="7"/>
        <v>0</v>
      </c>
      <c r="AS30" s="972">
        <v>5.3921568627450997E-2</v>
      </c>
      <c r="AT30" s="972">
        <v>0</v>
      </c>
      <c r="AU30" s="972">
        <f t="shared" si="8"/>
        <v>-4.6078431372549009E-2</v>
      </c>
      <c r="AV30" s="987">
        <f t="shared" si="8"/>
        <v>-0.1</v>
      </c>
      <c r="AX30">
        <f t="shared" si="9"/>
        <v>0</v>
      </c>
      <c r="AY30">
        <f t="shared" si="9"/>
        <v>0</v>
      </c>
      <c r="BA30" s="971">
        <v>5.0000000000000001E-3</v>
      </c>
      <c r="BC30">
        <f t="shared" si="11"/>
        <v>1.02</v>
      </c>
      <c r="BF30">
        <v>0</v>
      </c>
      <c r="BG30" s="971"/>
      <c r="BK30" s="1240">
        <v>5.3921568627450997E-2</v>
      </c>
      <c r="BL30" s="1240">
        <v>0</v>
      </c>
    </row>
    <row r="31" spans="1:64" x14ac:dyDescent="0.2">
      <c r="A31" s="968" t="s">
        <v>33</v>
      </c>
      <c r="B31" s="969">
        <v>2518</v>
      </c>
      <c r="C31" s="970">
        <f>VLOOKUP($B31,AWPU!$B:$L,9,FALSE)</f>
        <v>340</v>
      </c>
      <c r="D31" s="970">
        <f>VLOOKUP(B31,AWPU!B:L,10,FALSE)+VLOOKUP('2015 Factor % to units'!B31,AWPU!B:L,11,FALSE)</f>
        <v>0</v>
      </c>
      <c r="E31" s="971">
        <v>0.54889589905362779</v>
      </c>
      <c r="F31" s="971">
        <v>0</v>
      </c>
      <c r="G31" s="971">
        <f t="shared" si="0"/>
        <v>186.62460567823345</v>
      </c>
      <c r="H31" s="971">
        <f t="shared" si="0"/>
        <v>0</v>
      </c>
      <c r="K31" s="971">
        <v>0</v>
      </c>
      <c r="L31" s="971">
        <v>0</v>
      </c>
      <c r="M31" s="971">
        <v>0.23964497041420099</v>
      </c>
      <c r="N31" s="971">
        <v>0</v>
      </c>
      <c r="O31" s="971">
        <v>0.43491124260355002</v>
      </c>
      <c r="P31" s="971">
        <v>0</v>
      </c>
      <c r="Q31" s="971">
        <v>0.127218934911243</v>
      </c>
      <c r="R31" s="971">
        <v>0</v>
      </c>
      <c r="S31" s="971">
        <v>0.15088757396449701</v>
      </c>
      <c r="T31" s="971">
        <v>0</v>
      </c>
      <c r="U31" s="971">
        <v>1.4792899408284E-2</v>
      </c>
      <c r="V31" s="971">
        <v>0</v>
      </c>
      <c r="X31" s="971">
        <f t="shared" si="1"/>
        <v>0</v>
      </c>
      <c r="Y31" s="971">
        <f t="shared" si="1"/>
        <v>0</v>
      </c>
      <c r="Z31" s="971">
        <f t="shared" si="2"/>
        <v>81.479289940828338</v>
      </c>
      <c r="AA31" s="971">
        <f t="shared" si="2"/>
        <v>0</v>
      </c>
      <c r="AB31" s="971">
        <f t="shared" si="3"/>
        <v>147.86982248520701</v>
      </c>
      <c r="AC31" s="971">
        <f t="shared" si="3"/>
        <v>0</v>
      </c>
      <c r="AD31" s="971">
        <f t="shared" si="4"/>
        <v>43.254437869822624</v>
      </c>
      <c r="AE31" s="971">
        <f t="shared" si="4"/>
        <v>0</v>
      </c>
      <c r="AF31" s="971">
        <f t="shared" si="5"/>
        <v>51.301775147928986</v>
      </c>
      <c r="AG31" s="971">
        <f t="shared" si="5"/>
        <v>0</v>
      </c>
      <c r="AH31" s="971">
        <f t="shared" si="6"/>
        <v>5.0295857988165604</v>
      </c>
      <c r="AI31" s="971">
        <f t="shared" si="6"/>
        <v>0</v>
      </c>
      <c r="AL31" s="971">
        <v>0.48442906574394501</v>
      </c>
      <c r="AM31" s="971">
        <v>0</v>
      </c>
      <c r="AO31">
        <f t="shared" si="7"/>
        <v>164.7058823529413</v>
      </c>
      <c r="AP31">
        <f t="shared" si="7"/>
        <v>0</v>
      </c>
      <c r="AS31" s="972">
        <v>0.311764705882353</v>
      </c>
      <c r="AT31" s="972">
        <v>0</v>
      </c>
      <c r="AU31" s="972">
        <f t="shared" si="8"/>
        <v>0.21176470588235299</v>
      </c>
      <c r="AV31" s="987">
        <f t="shared" si="8"/>
        <v>-0.1</v>
      </c>
      <c r="AX31">
        <f t="shared" si="9"/>
        <v>72.000000000000014</v>
      </c>
      <c r="AY31">
        <f t="shared" si="9"/>
        <v>0</v>
      </c>
      <c r="BA31" s="971">
        <v>0</v>
      </c>
      <c r="BC31">
        <f t="shared" si="11"/>
        <v>0</v>
      </c>
      <c r="BF31">
        <v>0</v>
      </c>
      <c r="BG31" s="971"/>
      <c r="BK31" s="1240">
        <v>0.311764705882353</v>
      </c>
      <c r="BL31" s="1240">
        <v>0</v>
      </c>
    </row>
    <row r="32" spans="1:64" x14ac:dyDescent="0.2">
      <c r="A32" s="968" t="s">
        <v>34</v>
      </c>
      <c r="B32" s="969">
        <v>2457</v>
      </c>
      <c r="C32" s="970">
        <f>VLOOKUP($B32,AWPU!$B:$L,9,FALSE)</f>
        <v>362</v>
      </c>
      <c r="D32" s="970">
        <f>VLOOKUP(B32,AWPU!B:L,10,FALSE)+VLOOKUP('2015 Factor % to units'!B32,AWPU!B:L,11,FALSE)</f>
        <v>0</v>
      </c>
      <c r="E32" s="971">
        <v>0.24590163934426229</v>
      </c>
      <c r="F32" s="971">
        <v>0</v>
      </c>
      <c r="G32" s="971">
        <f t="shared" si="0"/>
        <v>89.016393442622956</v>
      </c>
      <c r="H32" s="971">
        <f t="shared" si="0"/>
        <v>0</v>
      </c>
      <c r="K32" s="971">
        <v>6.6481994459833799E-2</v>
      </c>
      <c r="L32" s="971">
        <v>0</v>
      </c>
      <c r="M32" s="971">
        <v>0</v>
      </c>
      <c r="N32" s="971">
        <v>0</v>
      </c>
      <c r="O32" s="971">
        <v>0.26315789473684198</v>
      </c>
      <c r="P32" s="971">
        <v>0</v>
      </c>
      <c r="Q32" s="971">
        <v>6.3711911357340695E-2</v>
      </c>
      <c r="R32" s="971">
        <v>0</v>
      </c>
      <c r="S32" s="971">
        <v>1.1080332409972299E-2</v>
      </c>
      <c r="T32" s="971">
        <v>0</v>
      </c>
      <c r="U32" s="971">
        <v>3.3240997229916899E-2</v>
      </c>
      <c r="V32" s="971">
        <v>0</v>
      </c>
      <c r="X32" s="971">
        <f t="shared" si="1"/>
        <v>24.066481994459835</v>
      </c>
      <c r="Y32" s="971">
        <f t="shared" si="1"/>
        <v>0</v>
      </c>
      <c r="Z32" s="971">
        <f t="shared" si="2"/>
        <v>0</v>
      </c>
      <c r="AA32" s="971">
        <f t="shared" si="2"/>
        <v>0</v>
      </c>
      <c r="AB32" s="971">
        <f t="shared" si="3"/>
        <v>95.263157894736793</v>
      </c>
      <c r="AC32" s="971">
        <f t="shared" si="3"/>
        <v>0</v>
      </c>
      <c r="AD32" s="971">
        <f t="shared" si="4"/>
        <v>23.063711911357331</v>
      </c>
      <c r="AE32" s="971">
        <f t="shared" si="4"/>
        <v>0</v>
      </c>
      <c r="AF32" s="971">
        <f t="shared" si="5"/>
        <v>4.0110803324099722</v>
      </c>
      <c r="AG32" s="971">
        <f t="shared" si="5"/>
        <v>0</v>
      </c>
      <c r="AH32" s="971">
        <f t="shared" si="6"/>
        <v>12.033240997229917</v>
      </c>
      <c r="AI32" s="971">
        <f t="shared" si="6"/>
        <v>0</v>
      </c>
      <c r="AL32" s="971">
        <v>8.0110497237569106E-2</v>
      </c>
      <c r="AM32" s="971">
        <v>0</v>
      </c>
      <c r="AO32">
        <f t="shared" si="7"/>
        <v>29.000000000000018</v>
      </c>
      <c r="AP32">
        <f t="shared" si="7"/>
        <v>0</v>
      </c>
      <c r="AS32" s="972">
        <v>5.5248618784530398E-2</v>
      </c>
      <c r="AT32" s="972">
        <v>0</v>
      </c>
      <c r="AU32" s="972">
        <f t="shared" si="8"/>
        <v>-4.4751381215469607E-2</v>
      </c>
      <c r="AV32" s="987">
        <f t="shared" si="8"/>
        <v>-0.1</v>
      </c>
      <c r="AX32">
        <f t="shared" si="9"/>
        <v>0</v>
      </c>
      <c r="AY32">
        <f t="shared" si="9"/>
        <v>0</v>
      </c>
      <c r="BA32" s="971">
        <v>8.1967213114754103E-3</v>
      </c>
      <c r="BC32">
        <f t="shared" si="11"/>
        <v>2.9672131147540983</v>
      </c>
      <c r="BF32">
        <v>0</v>
      </c>
      <c r="BG32" s="971"/>
      <c r="BK32" s="1240">
        <v>5.5248618784530398E-2</v>
      </c>
      <c r="BL32" s="1240">
        <v>0</v>
      </c>
    </row>
    <row r="33" spans="1:64" x14ac:dyDescent="0.2">
      <c r="A33" s="968" t="s">
        <v>1029</v>
      </c>
      <c r="B33" s="27">
        <v>2010</v>
      </c>
      <c r="C33" s="970">
        <f>VLOOKUP($B33,AWPU!$B:$L,9,FALSE)</f>
        <v>204</v>
      </c>
      <c r="D33" s="970">
        <f>VLOOKUP(B33,AWPU!B:L,10,FALSE)+VLOOKUP('2015 Factor % to units'!B33,AWPU!B:L,11,FALSE)</f>
        <v>0</v>
      </c>
      <c r="E33" s="971">
        <v>0.53439153439153442</v>
      </c>
      <c r="F33" s="971">
        <v>0</v>
      </c>
      <c r="G33" s="971">
        <f t="shared" si="0"/>
        <v>109.01587301587303</v>
      </c>
      <c r="H33" s="971">
        <f t="shared" si="0"/>
        <v>0</v>
      </c>
      <c r="K33" s="971">
        <v>6.8965517241379296E-2</v>
      </c>
      <c r="L33" s="971">
        <v>0</v>
      </c>
      <c r="M33" s="971">
        <v>9.8522167487684695E-3</v>
      </c>
      <c r="N33" s="971">
        <v>0</v>
      </c>
      <c r="O33" s="971">
        <v>0.37931034482758602</v>
      </c>
      <c r="P33" s="971">
        <v>0</v>
      </c>
      <c r="Q33" s="971">
        <v>0.38423645320196997</v>
      </c>
      <c r="R33" s="971">
        <v>0</v>
      </c>
      <c r="S33" s="971">
        <v>0</v>
      </c>
      <c r="T33" s="971">
        <v>0</v>
      </c>
      <c r="U33" s="971">
        <v>0.11330049261083699</v>
      </c>
      <c r="V33" s="971">
        <v>0</v>
      </c>
      <c r="X33" s="971">
        <f t="shared" si="1"/>
        <v>14.068965517241375</v>
      </c>
      <c r="Y33" s="971">
        <f t="shared" si="1"/>
        <v>0</v>
      </c>
      <c r="Z33" s="971">
        <f t="shared" si="2"/>
        <v>2.0098522167487678</v>
      </c>
      <c r="AA33" s="971">
        <f t="shared" si="2"/>
        <v>0</v>
      </c>
      <c r="AB33" s="971">
        <f t="shared" si="3"/>
        <v>77.379310344827545</v>
      </c>
      <c r="AC33" s="971">
        <f t="shared" si="3"/>
        <v>0</v>
      </c>
      <c r="AD33" s="971">
        <f t="shared" si="4"/>
        <v>78.384236453201879</v>
      </c>
      <c r="AE33" s="971">
        <f t="shared" si="4"/>
        <v>0</v>
      </c>
      <c r="AF33" s="971">
        <f t="shared" si="5"/>
        <v>0</v>
      </c>
      <c r="AG33" s="971">
        <f t="shared" si="5"/>
        <v>0</v>
      </c>
      <c r="AH33" s="971">
        <f t="shared" si="6"/>
        <v>23.113300492610747</v>
      </c>
      <c r="AI33" s="971">
        <f t="shared" si="6"/>
        <v>0</v>
      </c>
      <c r="AL33" s="971">
        <v>0.168604651162791</v>
      </c>
      <c r="AM33" s="971">
        <v>0</v>
      </c>
      <c r="AO33">
        <f t="shared" si="7"/>
        <v>34.395348837209362</v>
      </c>
      <c r="AP33">
        <f t="shared" si="7"/>
        <v>0</v>
      </c>
      <c r="AS33" s="972">
        <v>0.67647058823529405</v>
      </c>
      <c r="AT33" s="972">
        <v>0</v>
      </c>
      <c r="AU33" s="972">
        <f t="shared" si="8"/>
        <v>0.57647058823529407</v>
      </c>
      <c r="AV33" s="987">
        <f t="shared" si="8"/>
        <v>-0.1</v>
      </c>
      <c r="AX33">
        <f t="shared" si="9"/>
        <v>117.6</v>
      </c>
      <c r="AY33">
        <f t="shared" si="9"/>
        <v>0</v>
      </c>
      <c r="BA33" s="971">
        <v>0</v>
      </c>
      <c r="BC33">
        <f t="shared" si="11"/>
        <v>0</v>
      </c>
      <c r="BF33">
        <v>0</v>
      </c>
      <c r="BG33" s="971"/>
      <c r="BK33" s="1241">
        <v>0</v>
      </c>
      <c r="BL33" s="1240">
        <v>0</v>
      </c>
    </row>
    <row r="34" spans="1:64" x14ac:dyDescent="0.2">
      <c r="A34" s="968" t="s">
        <v>35</v>
      </c>
      <c r="B34" s="969">
        <v>2002</v>
      </c>
      <c r="C34" s="970">
        <f>VLOOKUP($B34,AWPU!$B:$L,9,FALSE)</f>
        <v>430</v>
      </c>
      <c r="D34" s="970">
        <f>VLOOKUP(B34,AWPU!B:L,10,FALSE)+VLOOKUP('2015 Factor % to units'!B34,AWPU!B:L,11,FALSE)</f>
        <v>0</v>
      </c>
      <c r="E34" s="971">
        <v>0.1111111111111111</v>
      </c>
      <c r="F34" s="971">
        <v>0</v>
      </c>
      <c r="G34" s="971">
        <f t="shared" ref="G34:H65" si="12">E34*C34</f>
        <v>47.777777777777779</v>
      </c>
      <c r="H34" s="971">
        <f t="shared" si="12"/>
        <v>0</v>
      </c>
      <c r="K34" s="971">
        <v>0.230046948356808</v>
      </c>
      <c r="L34" s="971">
        <v>0</v>
      </c>
      <c r="M34" s="971">
        <v>0</v>
      </c>
      <c r="N34" s="971">
        <v>0</v>
      </c>
      <c r="O34" s="971">
        <v>1.8779342723004699E-2</v>
      </c>
      <c r="P34" s="971">
        <v>0</v>
      </c>
      <c r="Q34" s="971">
        <v>0</v>
      </c>
      <c r="R34" s="971">
        <v>0</v>
      </c>
      <c r="S34" s="971">
        <v>0</v>
      </c>
      <c r="T34" s="971">
        <v>0</v>
      </c>
      <c r="U34" s="971">
        <v>0</v>
      </c>
      <c r="V34" s="971">
        <v>0</v>
      </c>
      <c r="X34" s="971">
        <f t="shared" ref="X34:Y65" si="13">K34*C34</f>
        <v>98.920187793427445</v>
      </c>
      <c r="Y34" s="971">
        <f t="shared" si="13"/>
        <v>0</v>
      </c>
      <c r="Z34" s="971">
        <f t="shared" ref="Z34:AA65" si="14">M34*C34</f>
        <v>0</v>
      </c>
      <c r="AA34" s="971">
        <f t="shared" si="14"/>
        <v>0</v>
      </c>
      <c r="AB34" s="971">
        <f t="shared" ref="AB34:AC65" si="15">O34*C34</f>
        <v>8.0751173708920199</v>
      </c>
      <c r="AC34" s="971">
        <f t="shared" si="15"/>
        <v>0</v>
      </c>
      <c r="AD34" s="971">
        <f t="shared" ref="AD34:AE65" si="16">Q34*C34</f>
        <v>0</v>
      </c>
      <c r="AE34" s="971">
        <f t="shared" si="16"/>
        <v>0</v>
      </c>
      <c r="AF34" s="971">
        <f t="shared" ref="AF34:AG65" si="17">S34*C34</f>
        <v>0</v>
      </c>
      <c r="AG34" s="971">
        <f t="shared" si="17"/>
        <v>0</v>
      </c>
      <c r="AH34" s="971">
        <f t="shared" ref="AH34:AI65" si="18">U34*C34</f>
        <v>0</v>
      </c>
      <c r="AI34" s="971">
        <f t="shared" si="18"/>
        <v>0</v>
      </c>
      <c r="AL34" s="971">
        <v>4.3596730245231599E-2</v>
      </c>
      <c r="AM34" s="971">
        <v>0</v>
      </c>
      <c r="AO34">
        <f t="shared" ref="AO34:AP65" si="19">AL34*C34</f>
        <v>18.746594005449587</v>
      </c>
      <c r="AP34">
        <f t="shared" si="19"/>
        <v>0</v>
      </c>
      <c r="AS34" s="972">
        <v>6.2790697674418597E-2</v>
      </c>
      <c r="AT34" s="972">
        <v>0</v>
      </c>
      <c r="AU34" s="972">
        <f t="shared" si="8"/>
        <v>-3.7209302325581409E-2</v>
      </c>
      <c r="AV34" s="987">
        <f t="shared" si="8"/>
        <v>-0.1</v>
      </c>
      <c r="AX34">
        <f t="shared" si="9"/>
        <v>0</v>
      </c>
      <c r="AY34">
        <f t="shared" si="9"/>
        <v>0</v>
      </c>
      <c r="BA34" s="971">
        <v>2.3148148148148147E-3</v>
      </c>
      <c r="BC34">
        <f t="shared" si="11"/>
        <v>0.99537037037037035</v>
      </c>
      <c r="BF34">
        <v>0</v>
      </c>
      <c r="BG34" s="971"/>
      <c r="BK34" s="1240">
        <v>6.2790697674418597E-2</v>
      </c>
      <c r="BL34" s="1240">
        <v>0</v>
      </c>
    </row>
    <row r="35" spans="1:64" x14ac:dyDescent="0.2">
      <c r="A35" s="968" t="s">
        <v>36</v>
      </c>
      <c r="B35" s="969">
        <v>3544</v>
      </c>
      <c r="C35" s="970">
        <f>VLOOKUP($B35,AWPU!$B:$L,9,FALSE)</f>
        <v>537</v>
      </c>
      <c r="D35" s="970">
        <f>VLOOKUP(B35,AWPU!B:L,10,FALSE)+VLOOKUP('2015 Factor % to units'!B35,AWPU!B:L,11,FALSE)</f>
        <v>0</v>
      </c>
      <c r="E35" s="971">
        <v>0.40925925925925927</v>
      </c>
      <c r="F35" s="971">
        <v>0</v>
      </c>
      <c r="G35" s="971">
        <f t="shared" si="12"/>
        <v>219.77222222222224</v>
      </c>
      <c r="H35" s="971">
        <f t="shared" si="12"/>
        <v>0</v>
      </c>
      <c r="K35" s="971">
        <v>1.8621973929236499E-3</v>
      </c>
      <c r="L35" s="971">
        <v>0</v>
      </c>
      <c r="M35" s="971">
        <v>0.17318435754189901</v>
      </c>
      <c r="N35" s="971">
        <v>0</v>
      </c>
      <c r="O35" s="971">
        <v>0.47113594040968299</v>
      </c>
      <c r="P35" s="971">
        <v>0</v>
      </c>
      <c r="Q35" s="971">
        <v>0.15642458100558701</v>
      </c>
      <c r="R35" s="971">
        <v>0</v>
      </c>
      <c r="S35" s="971">
        <v>0.14711359404096799</v>
      </c>
      <c r="T35" s="971">
        <v>0</v>
      </c>
      <c r="U35" s="971">
        <v>1.4897579143389199E-2</v>
      </c>
      <c r="V35" s="971">
        <v>0</v>
      </c>
      <c r="X35" s="971">
        <f t="shared" si="13"/>
        <v>1</v>
      </c>
      <c r="Y35" s="971">
        <f t="shared" si="13"/>
        <v>0</v>
      </c>
      <c r="Z35" s="971">
        <f t="shared" si="14"/>
        <v>92.999999999999773</v>
      </c>
      <c r="AA35" s="971">
        <f t="shared" si="14"/>
        <v>0</v>
      </c>
      <c r="AB35" s="971">
        <f t="shared" si="15"/>
        <v>252.99999999999977</v>
      </c>
      <c r="AC35" s="971">
        <f t="shared" si="15"/>
        <v>0</v>
      </c>
      <c r="AD35" s="971">
        <f t="shared" si="16"/>
        <v>84.000000000000227</v>
      </c>
      <c r="AE35" s="971">
        <f t="shared" si="16"/>
        <v>0</v>
      </c>
      <c r="AF35" s="971">
        <f t="shared" si="17"/>
        <v>78.999999999999815</v>
      </c>
      <c r="AG35" s="971">
        <f t="shared" si="17"/>
        <v>0</v>
      </c>
      <c r="AH35" s="971">
        <f t="shared" si="18"/>
        <v>8</v>
      </c>
      <c r="AI35" s="971">
        <f t="shared" si="18"/>
        <v>0</v>
      </c>
      <c r="AL35" s="971">
        <v>0.51153039832285097</v>
      </c>
      <c r="AM35" s="971">
        <v>0</v>
      </c>
      <c r="AO35">
        <f t="shared" si="19"/>
        <v>274.69182389937095</v>
      </c>
      <c r="AP35">
        <f t="shared" si="19"/>
        <v>0</v>
      </c>
      <c r="AS35" s="972">
        <v>9.3109869646182494E-2</v>
      </c>
      <c r="AT35" s="972">
        <v>0</v>
      </c>
      <c r="AU35" s="972">
        <f t="shared" si="8"/>
        <v>-6.8901303538175113E-3</v>
      </c>
      <c r="AV35" s="987">
        <f t="shared" si="8"/>
        <v>-0.1</v>
      </c>
      <c r="AX35">
        <f t="shared" si="9"/>
        <v>0</v>
      </c>
      <c r="AY35">
        <f t="shared" si="9"/>
        <v>0</v>
      </c>
      <c r="BA35" s="971">
        <v>1.1111111111111112E-2</v>
      </c>
      <c r="BC35">
        <f t="shared" si="11"/>
        <v>5.9666666666666668</v>
      </c>
      <c r="BF35">
        <v>0</v>
      </c>
      <c r="BG35" s="971"/>
      <c r="BK35" s="1240">
        <v>9.3109869646182494E-2</v>
      </c>
      <c r="BL35" s="1240">
        <v>0</v>
      </c>
    </row>
    <row r="36" spans="1:64" x14ac:dyDescent="0.2">
      <c r="A36" s="968" t="s">
        <v>100</v>
      </c>
      <c r="B36" s="969">
        <v>2006</v>
      </c>
      <c r="C36" s="970">
        <f>VLOOKUP($B36,AWPU!$B:$L,9,FALSE)</f>
        <v>263</v>
      </c>
      <c r="D36" s="970">
        <f>VLOOKUP(B36,AWPU!B:L,10,FALSE)+VLOOKUP('2015 Factor % to units'!B36,AWPU!B:L,11,FALSE)</f>
        <v>0</v>
      </c>
      <c r="E36" s="971">
        <v>6.0240963855421686E-2</v>
      </c>
      <c r="F36" s="971">
        <v>0</v>
      </c>
      <c r="G36" s="971">
        <f t="shared" si="12"/>
        <v>15.843373493975903</v>
      </c>
      <c r="H36" s="971">
        <f t="shared" si="12"/>
        <v>0</v>
      </c>
      <c r="K36" s="971">
        <v>0</v>
      </c>
      <c r="L36" s="971">
        <v>0</v>
      </c>
      <c r="M36" s="971">
        <v>7.6045627376425898E-3</v>
      </c>
      <c r="N36" s="971">
        <v>0</v>
      </c>
      <c r="O36" s="971">
        <v>3.8022813688212902E-3</v>
      </c>
      <c r="P36" s="971">
        <v>0</v>
      </c>
      <c r="Q36" s="971">
        <v>0</v>
      </c>
      <c r="R36" s="971">
        <v>0</v>
      </c>
      <c r="S36" s="971">
        <v>0</v>
      </c>
      <c r="T36" s="971">
        <v>0</v>
      </c>
      <c r="U36" s="971">
        <v>0</v>
      </c>
      <c r="V36" s="971">
        <v>0</v>
      </c>
      <c r="X36" s="971">
        <f t="shared" si="13"/>
        <v>0</v>
      </c>
      <c r="Y36" s="971">
        <f t="shared" si="13"/>
        <v>0</v>
      </c>
      <c r="Z36" s="971">
        <f t="shared" si="14"/>
        <v>2.0000000000000013</v>
      </c>
      <c r="AA36" s="971">
        <f t="shared" si="14"/>
        <v>0</v>
      </c>
      <c r="AB36" s="971">
        <f t="shared" si="15"/>
        <v>0.99999999999999933</v>
      </c>
      <c r="AC36" s="971">
        <f t="shared" si="15"/>
        <v>0</v>
      </c>
      <c r="AD36" s="971">
        <f t="shared" si="16"/>
        <v>0</v>
      </c>
      <c r="AE36" s="971">
        <f t="shared" si="16"/>
        <v>0</v>
      </c>
      <c r="AF36" s="971">
        <f t="shared" si="17"/>
        <v>0</v>
      </c>
      <c r="AG36" s="971">
        <f t="shared" si="17"/>
        <v>0</v>
      </c>
      <c r="AH36" s="971">
        <f t="shared" si="18"/>
        <v>0</v>
      </c>
      <c r="AI36" s="971">
        <f t="shared" si="18"/>
        <v>0</v>
      </c>
      <c r="AL36" s="971">
        <v>2.3041474654377898E-2</v>
      </c>
      <c r="AM36" s="971">
        <v>0</v>
      </c>
      <c r="AO36">
        <f t="shared" si="19"/>
        <v>6.059907834101387</v>
      </c>
      <c r="AP36">
        <f t="shared" si="19"/>
        <v>0</v>
      </c>
      <c r="AS36" s="972">
        <v>5.3231939163498103E-2</v>
      </c>
      <c r="AT36" s="972">
        <v>0</v>
      </c>
      <c r="AU36" s="972">
        <f t="shared" si="8"/>
        <v>-4.6768060836501903E-2</v>
      </c>
      <c r="AV36" s="987">
        <f t="shared" si="8"/>
        <v>-0.1</v>
      </c>
      <c r="AX36">
        <f t="shared" si="9"/>
        <v>0</v>
      </c>
      <c r="AY36">
        <f t="shared" si="9"/>
        <v>0</v>
      </c>
      <c r="BA36" s="971">
        <v>4.0160642570281121E-3</v>
      </c>
      <c r="BC36">
        <f t="shared" si="11"/>
        <v>1.0562248995983934</v>
      </c>
      <c r="BF36">
        <v>0</v>
      </c>
      <c r="BG36" s="971"/>
      <c r="BK36" s="1240">
        <v>5.3231939163498103E-2</v>
      </c>
      <c r="BL36" s="1240">
        <v>0</v>
      </c>
    </row>
    <row r="37" spans="1:64" x14ac:dyDescent="0.2">
      <c r="A37" s="968" t="s">
        <v>37</v>
      </c>
      <c r="B37" s="969">
        <v>2434</v>
      </c>
      <c r="C37" s="970">
        <f>VLOOKUP($B37,AWPU!$B:$L,9,FALSE)</f>
        <v>461</v>
      </c>
      <c r="D37" s="970">
        <f>VLOOKUP(B37,AWPU!B:L,10,FALSE)+VLOOKUP('2015 Factor % to units'!B37,AWPU!B:L,11,FALSE)</f>
        <v>0</v>
      </c>
      <c r="E37" s="971">
        <v>0.47297297297297297</v>
      </c>
      <c r="F37" s="971">
        <v>0</v>
      </c>
      <c r="G37" s="971">
        <f t="shared" si="12"/>
        <v>218.04054054054055</v>
      </c>
      <c r="H37" s="971">
        <f t="shared" si="12"/>
        <v>0</v>
      </c>
      <c r="K37" s="971">
        <v>2.1276595744680899E-3</v>
      </c>
      <c r="L37" s="971">
        <v>0</v>
      </c>
      <c r="M37" s="971">
        <v>4.2553191489361703E-3</v>
      </c>
      <c r="N37" s="971">
        <v>0</v>
      </c>
      <c r="O37" s="971">
        <v>0.36382978723404302</v>
      </c>
      <c r="P37" s="971">
        <v>0</v>
      </c>
      <c r="Q37" s="971">
        <v>0.46808510638297901</v>
      </c>
      <c r="R37" s="971">
        <v>0</v>
      </c>
      <c r="S37" s="971">
        <v>7.0212765957446799E-2</v>
      </c>
      <c r="T37" s="971">
        <v>0</v>
      </c>
      <c r="U37" s="971">
        <v>3.8297872340425497E-2</v>
      </c>
      <c r="V37" s="971">
        <v>0</v>
      </c>
      <c r="X37" s="971">
        <f t="shared" si="13"/>
        <v>0.98085106382978948</v>
      </c>
      <c r="Y37" s="971">
        <f t="shared" si="13"/>
        <v>0</v>
      </c>
      <c r="Z37" s="971">
        <f t="shared" si="14"/>
        <v>1.9617021276595745</v>
      </c>
      <c r="AA37" s="971">
        <f t="shared" si="14"/>
        <v>0</v>
      </c>
      <c r="AB37" s="971">
        <f t="shared" si="15"/>
        <v>167.72553191489382</v>
      </c>
      <c r="AC37" s="971">
        <f t="shared" si="15"/>
        <v>0</v>
      </c>
      <c r="AD37" s="971">
        <f t="shared" si="16"/>
        <v>215.78723404255334</v>
      </c>
      <c r="AE37" s="971">
        <f t="shared" si="16"/>
        <v>0</v>
      </c>
      <c r="AF37" s="971">
        <f t="shared" si="17"/>
        <v>32.368085106382978</v>
      </c>
      <c r="AG37" s="971">
        <f t="shared" si="17"/>
        <v>0</v>
      </c>
      <c r="AH37" s="971">
        <f t="shared" si="18"/>
        <v>17.655319148936155</v>
      </c>
      <c r="AI37" s="971">
        <f t="shared" si="18"/>
        <v>0</v>
      </c>
      <c r="AL37" s="971">
        <v>3.1331592689295001E-2</v>
      </c>
      <c r="AM37" s="971">
        <v>0</v>
      </c>
      <c r="AO37">
        <f t="shared" si="19"/>
        <v>14.443864229764996</v>
      </c>
      <c r="AP37">
        <f t="shared" si="19"/>
        <v>0</v>
      </c>
      <c r="AS37" s="972">
        <v>0.135306553911205</v>
      </c>
      <c r="AT37" s="972">
        <v>0</v>
      </c>
      <c r="AU37" s="972">
        <f t="shared" si="8"/>
        <v>3.5306553911204991E-2</v>
      </c>
      <c r="AV37" s="987">
        <f t="shared" si="8"/>
        <v>-0.1</v>
      </c>
      <c r="AX37">
        <f t="shared" si="9"/>
        <v>16.276321353065502</v>
      </c>
      <c r="AY37">
        <f t="shared" si="9"/>
        <v>0</v>
      </c>
      <c r="BA37" s="971">
        <v>2.0270270270270271E-2</v>
      </c>
      <c r="BC37">
        <f t="shared" si="11"/>
        <v>9.3445945945945947</v>
      </c>
      <c r="BF37">
        <v>0</v>
      </c>
      <c r="BG37" s="971"/>
      <c r="BK37" s="1240">
        <v>0.135306553911205</v>
      </c>
      <c r="BL37" s="1240">
        <v>0</v>
      </c>
    </row>
    <row r="38" spans="1:64" x14ac:dyDescent="0.2">
      <c r="A38" s="968" t="s">
        <v>38</v>
      </c>
      <c r="B38" s="969">
        <v>2522</v>
      </c>
      <c r="C38" s="970">
        <f>VLOOKUP($B38,AWPU!$B:$L,9,FALSE)</f>
        <v>388</v>
      </c>
      <c r="D38" s="970">
        <f>VLOOKUP(B38,AWPU!B:L,10,FALSE)+VLOOKUP('2015 Factor % to units'!B38,AWPU!B:L,11,FALSE)</f>
        <v>0</v>
      </c>
      <c r="E38" s="971">
        <v>0.10895883777239709</v>
      </c>
      <c r="F38" s="971">
        <v>0</v>
      </c>
      <c r="G38" s="971">
        <f t="shared" si="12"/>
        <v>42.276029055690074</v>
      </c>
      <c r="H38" s="971">
        <f t="shared" si="12"/>
        <v>0</v>
      </c>
      <c r="K38" s="971">
        <v>4.3814432989690698E-2</v>
      </c>
      <c r="L38" s="971">
        <v>0</v>
      </c>
      <c r="M38" s="971">
        <v>4.8969072164948502E-2</v>
      </c>
      <c r="N38" s="971">
        <v>0</v>
      </c>
      <c r="O38" s="971">
        <v>6.7010309278350499E-2</v>
      </c>
      <c r="P38" s="971">
        <v>0</v>
      </c>
      <c r="Q38" s="971">
        <v>3.60824742268041E-2</v>
      </c>
      <c r="R38" s="971">
        <v>0</v>
      </c>
      <c r="S38" s="971">
        <v>7.7319587628866E-3</v>
      </c>
      <c r="T38" s="971">
        <v>0</v>
      </c>
      <c r="U38" s="971">
        <v>5.1546391752577301E-3</v>
      </c>
      <c r="V38" s="971">
        <v>0</v>
      </c>
      <c r="X38" s="971">
        <f t="shared" si="13"/>
        <v>16.999999999999989</v>
      </c>
      <c r="Y38" s="971">
        <f t="shared" si="13"/>
        <v>0</v>
      </c>
      <c r="Z38" s="971">
        <f t="shared" si="14"/>
        <v>19.000000000000018</v>
      </c>
      <c r="AA38" s="971">
        <f t="shared" si="14"/>
        <v>0</v>
      </c>
      <c r="AB38" s="971">
        <f t="shared" si="15"/>
        <v>25.999999999999993</v>
      </c>
      <c r="AC38" s="971">
        <f t="shared" si="15"/>
        <v>0</v>
      </c>
      <c r="AD38" s="971">
        <f t="shared" si="16"/>
        <v>13.999999999999991</v>
      </c>
      <c r="AE38" s="971">
        <f t="shared" si="16"/>
        <v>0</v>
      </c>
      <c r="AF38" s="971">
        <f t="shared" si="17"/>
        <v>3.0000000000000009</v>
      </c>
      <c r="AG38" s="971">
        <f t="shared" si="17"/>
        <v>0</v>
      </c>
      <c r="AH38" s="971">
        <f t="shared" si="18"/>
        <v>1.9999999999999993</v>
      </c>
      <c r="AI38" s="971">
        <f t="shared" si="18"/>
        <v>0</v>
      </c>
      <c r="AL38" s="971">
        <v>0.02</v>
      </c>
      <c r="AM38" s="971">
        <v>0</v>
      </c>
      <c r="AO38">
        <f t="shared" si="19"/>
        <v>7.76</v>
      </c>
      <c r="AP38">
        <f t="shared" si="19"/>
        <v>0</v>
      </c>
      <c r="AS38" s="972">
        <v>8.5051546391752594E-2</v>
      </c>
      <c r="AT38" s="972">
        <v>0</v>
      </c>
      <c r="AU38" s="972">
        <f t="shared" si="8"/>
        <v>-1.4948453608247411E-2</v>
      </c>
      <c r="AV38" s="987">
        <f t="shared" si="8"/>
        <v>-0.1</v>
      </c>
      <c r="AX38">
        <f t="shared" si="9"/>
        <v>0</v>
      </c>
      <c r="AY38">
        <f t="shared" si="9"/>
        <v>0</v>
      </c>
      <c r="BA38" s="971">
        <v>2.4213075060532689E-3</v>
      </c>
      <c r="BC38">
        <f t="shared" si="11"/>
        <v>0.93946731234866832</v>
      </c>
      <c r="BF38">
        <v>0</v>
      </c>
      <c r="BG38" s="971"/>
      <c r="BK38" s="1240">
        <v>8.5051546391752594E-2</v>
      </c>
      <c r="BL38" s="1240">
        <v>0</v>
      </c>
    </row>
    <row r="39" spans="1:64" x14ac:dyDescent="0.2">
      <c r="A39" s="990" t="s">
        <v>69</v>
      </c>
      <c r="B39" s="991">
        <v>4181</v>
      </c>
      <c r="C39" s="970">
        <f>VLOOKUP($B39,AWPU!$B:$L,9,FALSE)</f>
        <v>0</v>
      </c>
      <c r="D39" s="970">
        <f>VLOOKUP(B39,AWPU!B:L,10,FALSE)+VLOOKUP('2015 Factor % to units'!B39,AWPU!B:L,11,FALSE)</f>
        <v>1063</v>
      </c>
      <c r="E39" s="971">
        <v>0</v>
      </c>
      <c r="F39" s="971">
        <v>0.27079482439926061</v>
      </c>
      <c r="G39" s="971">
        <f t="shared" si="12"/>
        <v>0</v>
      </c>
      <c r="H39" s="971">
        <f t="shared" si="12"/>
        <v>287.85489833641401</v>
      </c>
      <c r="K39" s="971">
        <v>0</v>
      </c>
      <c r="L39" s="971">
        <v>0.102230483271375</v>
      </c>
      <c r="M39" s="971">
        <v>0</v>
      </c>
      <c r="N39" s="971">
        <v>5.2044609665427503E-2</v>
      </c>
      <c r="O39" s="971">
        <v>0</v>
      </c>
      <c r="P39" s="971">
        <v>0.16914498141263901</v>
      </c>
      <c r="Q39" s="971">
        <v>0</v>
      </c>
      <c r="R39" s="971">
        <v>4.8327137546468397E-2</v>
      </c>
      <c r="S39" s="971">
        <v>0</v>
      </c>
      <c r="T39" s="971">
        <v>8.1784386617100399E-2</v>
      </c>
      <c r="U39" s="971">
        <v>0</v>
      </c>
      <c r="V39" s="971">
        <v>4.6468401486988902E-3</v>
      </c>
      <c r="X39" s="971">
        <f t="shared" si="13"/>
        <v>0</v>
      </c>
      <c r="Y39" s="971">
        <f t="shared" si="13"/>
        <v>108.67100371747163</v>
      </c>
      <c r="Z39" s="971">
        <f t="shared" si="14"/>
        <v>0</v>
      </c>
      <c r="AA39" s="971">
        <f t="shared" si="14"/>
        <v>55.323420074349436</v>
      </c>
      <c r="AB39" s="971">
        <f t="shared" si="15"/>
        <v>0</v>
      </c>
      <c r="AC39" s="971">
        <f t="shared" si="15"/>
        <v>179.80111524163527</v>
      </c>
      <c r="AD39" s="971">
        <f t="shared" si="16"/>
        <v>0</v>
      </c>
      <c r="AE39" s="971">
        <f t="shared" si="16"/>
        <v>51.371747211895908</v>
      </c>
      <c r="AF39" s="971">
        <f t="shared" si="17"/>
        <v>0</v>
      </c>
      <c r="AG39" s="971">
        <f t="shared" si="17"/>
        <v>86.93680297397772</v>
      </c>
      <c r="AH39" s="971">
        <f t="shared" si="18"/>
        <v>0</v>
      </c>
      <c r="AI39" s="971">
        <f t="shared" si="18"/>
        <v>4.9395910780669201</v>
      </c>
      <c r="AL39" s="971">
        <v>0</v>
      </c>
      <c r="AM39" s="971">
        <v>3.7105751391465699E-3</v>
      </c>
      <c r="AO39">
        <f t="shared" si="19"/>
        <v>0</v>
      </c>
      <c r="AP39">
        <f t="shared" si="19"/>
        <v>3.9443413729128038</v>
      </c>
      <c r="AS39" s="972">
        <v>0</v>
      </c>
      <c r="AT39" s="972">
        <v>4.9119555143651503E-2</v>
      </c>
      <c r="AU39" s="972">
        <f t="shared" si="8"/>
        <v>-0.1</v>
      </c>
      <c r="AV39" s="987">
        <f t="shared" si="8"/>
        <v>-5.0880444856348503E-2</v>
      </c>
      <c r="AX39">
        <f t="shared" si="9"/>
        <v>0</v>
      </c>
      <c r="AY39">
        <f t="shared" si="9"/>
        <v>0</v>
      </c>
      <c r="BA39" s="971">
        <v>9.2421441774491681E-4</v>
      </c>
      <c r="BC39">
        <f>BA39*D39</f>
        <v>0.98243992606284658</v>
      </c>
      <c r="BF39">
        <v>0.27138643067846602</v>
      </c>
      <c r="BG39" s="971">
        <f>BF39*D39</f>
        <v>288.4837758112094</v>
      </c>
      <c r="BK39" s="1240">
        <v>0</v>
      </c>
      <c r="BL39" s="1240">
        <v>4.9119555143651503E-2</v>
      </c>
    </row>
    <row r="40" spans="1:64" x14ac:dyDescent="0.2">
      <c r="A40" s="968" t="s">
        <v>70</v>
      </c>
      <c r="B40" s="969">
        <v>4182</v>
      </c>
      <c r="C40" s="970">
        <f>VLOOKUP($B40,AWPU!$B:$L,9,FALSE)</f>
        <v>0</v>
      </c>
      <c r="D40" s="970">
        <f>VLOOKUP(B40,AWPU!B:L,10,FALSE)+VLOOKUP('2015 Factor % to units'!B40,AWPU!B:L,11,FALSE)</f>
        <v>1398</v>
      </c>
      <c r="E40" s="971">
        <v>0</v>
      </c>
      <c r="F40" s="971">
        <v>0.12490869247626005</v>
      </c>
      <c r="G40" s="971">
        <f t="shared" si="12"/>
        <v>0</v>
      </c>
      <c r="H40" s="971">
        <f t="shared" si="12"/>
        <v>174.62235208181156</v>
      </c>
      <c r="K40" s="971">
        <v>0</v>
      </c>
      <c r="L40" s="971">
        <v>8.9413447782546507E-2</v>
      </c>
      <c r="M40" s="971">
        <v>0</v>
      </c>
      <c r="N40" s="971">
        <v>3.7911301859799698E-2</v>
      </c>
      <c r="O40" s="971">
        <v>0</v>
      </c>
      <c r="P40" s="971">
        <v>2.0028612303290401E-2</v>
      </c>
      <c r="Q40" s="971">
        <v>0</v>
      </c>
      <c r="R40" s="971">
        <v>9.2989985693848407E-3</v>
      </c>
      <c r="S40" s="971">
        <v>0</v>
      </c>
      <c r="T40" s="971">
        <v>5.0071530758226002E-3</v>
      </c>
      <c r="U40" s="971">
        <v>0</v>
      </c>
      <c r="V40" s="971">
        <v>2.86123032904149E-3</v>
      </c>
      <c r="X40" s="971">
        <f t="shared" si="13"/>
        <v>0</v>
      </c>
      <c r="Y40" s="971">
        <f t="shared" si="13"/>
        <v>125.00000000000001</v>
      </c>
      <c r="Z40" s="971">
        <f t="shared" si="14"/>
        <v>0</v>
      </c>
      <c r="AA40" s="971">
        <f t="shared" si="14"/>
        <v>52.999999999999979</v>
      </c>
      <c r="AB40" s="971">
        <f t="shared" si="15"/>
        <v>0</v>
      </c>
      <c r="AC40" s="971">
        <f t="shared" si="15"/>
        <v>27.999999999999982</v>
      </c>
      <c r="AD40" s="971">
        <f t="shared" si="16"/>
        <v>0</v>
      </c>
      <c r="AE40" s="971">
        <f t="shared" si="16"/>
        <v>13.000000000000007</v>
      </c>
      <c r="AF40" s="971">
        <f t="shared" si="17"/>
        <v>0</v>
      </c>
      <c r="AG40" s="971">
        <f t="shared" si="17"/>
        <v>6.9999999999999956</v>
      </c>
      <c r="AH40" s="971">
        <f t="shared" si="18"/>
        <v>0</v>
      </c>
      <c r="AI40" s="971">
        <f t="shared" si="18"/>
        <v>4.0000000000000027</v>
      </c>
      <c r="AL40" s="971">
        <v>0</v>
      </c>
      <c r="AM40" s="971">
        <v>2.1536252692031601E-2</v>
      </c>
      <c r="AO40">
        <f t="shared" si="19"/>
        <v>0</v>
      </c>
      <c r="AP40">
        <f t="shared" si="19"/>
        <v>30.107681263460179</v>
      </c>
      <c r="AS40" s="972">
        <v>0</v>
      </c>
      <c r="AT40" s="972">
        <v>2.71816881258941E-2</v>
      </c>
      <c r="AU40" s="972">
        <f t="shared" si="8"/>
        <v>-0.1</v>
      </c>
      <c r="AV40" s="987">
        <f t="shared" si="8"/>
        <v>-7.2818311874105909E-2</v>
      </c>
      <c r="AX40">
        <f t="shared" si="9"/>
        <v>0</v>
      </c>
      <c r="AY40">
        <f t="shared" si="9"/>
        <v>0</v>
      </c>
      <c r="BA40" s="971">
        <v>6.5741417092768442E-3</v>
      </c>
      <c r="BC40">
        <f>BA40*D40</f>
        <v>9.1906501095690274</v>
      </c>
      <c r="BF40">
        <v>0.15810593900481501</v>
      </c>
      <c r="BG40" s="971">
        <f>BF40*D40</f>
        <v>221.03210272873139</v>
      </c>
      <c r="BK40" s="1240">
        <v>0</v>
      </c>
      <c r="BL40" s="1240">
        <v>2.71816881258941E-2</v>
      </c>
    </row>
    <row r="41" spans="1:64" x14ac:dyDescent="0.2">
      <c r="A41" s="968" t="s">
        <v>39</v>
      </c>
      <c r="B41" s="969">
        <v>2436</v>
      </c>
      <c r="C41" s="970">
        <f>VLOOKUP($B41,AWPU!$B:$L,9,FALSE)</f>
        <v>336</v>
      </c>
      <c r="D41" s="970">
        <f>VLOOKUP(B41,AWPU!B:L,10,FALSE)+VLOOKUP('2015 Factor % to units'!B41,AWPU!B:L,11,FALSE)</f>
        <v>0</v>
      </c>
      <c r="E41" s="971">
        <v>0.18787878787878787</v>
      </c>
      <c r="F41" s="971">
        <v>0</v>
      </c>
      <c r="G41" s="971">
        <f t="shared" si="12"/>
        <v>63.127272727272725</v>
      </c>
      <c r="H41" s="971">
        <f t="shared" si="12"/>
        <v>0</v>
      </c>
      <c r="K41" s="971">
        <v>2.9325513196480898E-2</v>
      </c>
      <c r="L41" s="971">
        <v>0</v>
      </c>
      <c r="M41" s="971">
        <v>0.19061583577712601</v>
      </c>
      <c r="N41" s="971">
        <v>0</v>
      </c>
      <c r="O41" s="971">
        <v>0.164222873900293</v>
      </c>
      <c r="P41" s="971">
        <v>0</v>
      </c>
      <c r="Q41" s="971">
        <v>3.2258064516128997E-2</v>
      </c>
      <c r="R41" s="971">
        <v>0</v>
      </c>
      <c r="S41" s="971">
        <v>8.7976539589442806E-3</v>
      </c>
      <c r="T41" s="971">
        <v>0</v>
      </c>
      <c r="U41" s="971">
        <v>2.9325513196480899E-3</v>
      </c>
      <c r="V41" s="971">
        <v>0</v>
      </c>
      <c r="X41" s="971">
        <f t="shared" si="13"/>
        <v>9.8533724340175812</v>
      </c>
      <c r="Y41" s="971">
        <f t="shared" si="13"/>
        <v>0</v>
      </c>
      <c r="Z41" s="971">
        <f t="shared" si="14"/>
        <v>64.046920821114341</v>
      </c>
      <c r="AA41" s="971">
        <f t="shared" si="14"/>
        <v>0</v>
      </c>
      <c r="AB41" s="971">
        <f t="shared" si="15"/>
        <v>55.178885630498449</v>
      </c>
      <c r="AC41" s="971">
        <f t="shared" si="15"/>
        <v>0</v>
      </c>
      <c r="AD41" s="971">
        <f t="shared" si="16"/>
        <v>10.838709677419343</v>
      </c>
      <c r="AE41" s="971">
        <f t="shared" si="16"/>
        <v>0</v>
      </c>
      <c r="AF41" s="971">
        <f t="shared" si="17"/>
        <v>2.9560117302052782</v>
      </c>
      <c r="AG41" s="971">
        <f t="shared" si="17"/>
        <v>0</v>
      </c>
      <c r="AH41" s="971">
        <f t="shared" si="18"/>
        <v>0.98533724340175821</v>
      </c>
      <c r="AI41" s="971">
        <f t="shared" si="18"/>
        <v>0</v>
      </c>
      <c r="AL41" s="971">
        <v>1.0752688172042999E-2</v>
      </c>
      <c r="AM41" s="971">
        <v>0</v>
      </c>
      <c r="AO41">
        <f t="shared" si="19"/>
        <v>3.612903225806448</v>
      </c>
      <c r="AP41">
        <f t="shared" si="19"/>
        <v>0</v>
      </c>
      <c r="AS41" s="972">
        <v>3.5087719298245598E-2</v>
      </c>
      <c r="AT41" s="972">
        <v>0</v>
      </c>
      <c r="AU41" s="972">
        <f t="shared" si="8"/>
        <v>-6.4912280701754407E-2</v>
      </c>
      <c r="AV41" s="987">
        <f t="shared" si="8"/>
        <v>-0.1</v>
      </c>
      <c r="AX41">
        <f t="shared" si="9"/>
        <v>0</v>
      </c>
      <c r="AY41">
        <f t="shared" si="9"/>
        <v>0</v>
      </c>
      <c r="BA41" s="971">
        <v>6.0606060606060606E-3</v>
      </c>
      <c r="BC41">
        <f>BA41*C41</f>
        <v>2.0363636363636362</v>
      </c>
      <c r="BF41">
        <v>0</v>
      </c>
      <c r="BG41" s="971"/>
      <c r="BK41" s="1240">
        <v>3.5087719298245598E-2</v>
      </c>
      <c r="BL41" s="1240">
        <v>0</v>
      </c>
    </row>
    <row r="42" spans="1:64" x14ac:dyDescent="0.2">
      <c r="A42" s="968" t="s">
        <v>40</v>
      </c>
      <c r="B42" s="969">
        <v>2452</v>
      </c>
      <c r="C42" s="970">
        <f>VLOOKUP($B42,AWPU!$B:$L,9,FALSE)</f>
        <v>202</v>
      </c>
      <c r="D42" s="970">
        <f>VLOOKUP(B42,AWPU!B:L,10,FALSE)+VLOOKUP('2015 Factor % to units'!B42,AWPU!B:L,11,FALSE)</f>
        <v>0</v>
      </c>
      <c r="E42" s="971">
        <v>0.36057692307692307</v>
      </c>
      <c r="F42" s="971">
        <v>0</v>
      </c>
      <c r="G42" s="971">
        <f t="shared" si="12"/>
        <v>72.836538461538467</v>
      </c>
      <c r="H42" s="971">
        <f t="shared" si="12"/>
        <v>0</v>
      </c>
      <c r="K42" s="971">
        <v>5.9405940594059403E-2</v>
      </c>
      <c r="L42" s="971">
        <v>0</v>
      </c>
      <c r="M42" s="971">
        <v>2.9702970297029702E-2</v>
      </c>
      <c r="N42" s="971">
        <v>0</v>
      </c>
      <c r="O42" s="971">
        <v>0.51980198019802004</v>
      </c>
      <c r="P42" s="971">
        <v>0</v>
      </c>
      <c r="Q42" s="971">
        <v>1.4851485148514899E-2</v>
      </c>
      <c r="R42" s="971">
        <v>0</v>
      </c>
      <c r="S42" s="971">
        <v>4.4554455445544601E-2</v>
      </c>
      <c r="T42" s="971">
        <v>0</v>
      </c>
      <c r="U42" s="971">
        <v>9.9009900990098994E-3</v>
      </c>
      <c r="V42" s="971">
        <v>0</v>
      </c>
      <c r="X42" s="971">
        <f t="shared" si="13"/>
        <v>12</v>
      </c>
      <c r="Y42" s="971">
        <f t="shared" si="13"/>
        <v>0</v>
      </c>
      <c r="Z42" s="971">
        <f t="shared" si="14"/>
        <v>6</v>
      </c>
      <c r="AA42" s="971">
        <f t="shared" si="14"/>
        <v>0</v>
      </c>
      <c r="AB42" s="971">
        <f t="shared" si="15"/>
        <v>105.00000000000004</v>
      </c>
      <c r="AC42" s="971">
        <f t="shared" si="15"/>
        <v>0</v>
      </c>
      <c r="AD42" s="971">
        <f t="shared" si="16"/>
        <v>3.0000000000000098</v>
      </c>
      <c r="AE42" s="971">
        <f t="shared" si="16"/>
        <v>0</v>
      </c>
      <c r="AF42" s="971">
        <f t="shared" si="17"/>
        <v>9.0000000000000089</v>
      </c>
      <c r="AG42" s="971">
        <f t="shared" si="17"/>
        <v>0</v>
      </c>
      <c r="AH42" s="971">
        <f t="shared" si="18"/>
        <v>1.9999999999999998</v>
      </c>
      <c r="AI42" s="971">
        <f t="shared" si="18"/>
        <v>0</v>
      </c>
      <c r="AL42" s="971">
        <v>5.6497175141242903E-2</v>
      </c>
      <c r="AM42" s="971">
        <v>0</v>
      </c>
      <c r="AO42">
        <f t="shared" si="19"/>
        <v>11.412429378531066</v>
      </c>
      <c r="AP42">
        <f t="shared" si="19"/>
        <v>0</v>
      </c>
      <c r="AS42" s="972">
        <v>6.9306930693069299E-2</v>
      </c>
      <c r="AT42" s="972">
        <v>0</v>
      </c>
      <c r="AU42" s="972">
        <f t="shared" si="8"/>
        <v>-3.0693069306930706E-2</v>
      </c>
      <c r="AV42" s="987">
        <f t="shared" si="8"/>
        <v>-0.1</v>
      </c>
      <c r="AX42">
        <f t="shared" si="9"/>
        <v>0</v>
      </c>
      <c r="AY42">
        <f t="shared" si="9"/>
        <v>0</v>
      </c>
      <c r="BA42" s="971">
        <v>0</v>
      </c>
      <c r="BC42">
        <f>BA42*C42</f>
        <v>0</v>
      </c>
      <c r="BF42">
        <v>0</v>
      </c>
      <c r="BG42" s="971"/>
      <c r="BK42" s="1240">
        <v>6.9306930693069299E-2</v>
      </c>
      <c r="BL42" s="1240">
        <v>0</v>
      </c>
    </row>
    <row r="43" spans="1:64" x14ac:dyDescent="0.2">
      <c r="A43" s="968" t="s">
        <v>71</v>
      </c>
      <c r="B43" s="28">
        <v>4001</v>
      </c>
      <c r="C43" s="970">
        <f>VLOOKUP($B43,AWPU!$B:$L,9,FALSE)</f>
        <v>0</v>
      </c>
      <c r="D43" s="970">
        <f>VLOOKUP(B43,AWPU!B:L,10,FALSE)+VLOOKUP('2015 Factor % to units'!B43,AWPU!B:L,11,FALSE)</f>
        <v>731</v>
      </c>
      <c r="E43" s="971">
        <v>0</v>
      </c>
      <c r="F43" s="971">
        <v>0.64122137404580148</v>
      </c>
      <c r="G43" s="971">
        <f t="shared" si="12"/>
        <v>0</v>
      </c>
      <c r="H43" s="971">
        <f t="shared" si="12"/>
        <v>468.73282442748086</v>
      </c>
      <c r="K43" s="971">
        <v>0</v>
      </c>
      <c r="L43" s="971">
        <v>3.8514442916093503E-2</v>
      </c>
      <c r="M43" s="971">
        <v>0</v>
      </c>
      <c r="N43" s="971">
        <v>4.2640990371389298E-2</v>
      </c>
      <c r="O43" s="971">
        <v>0</v>
      </c>
      <c r="P43" s="971">
        <v>0.10041265474553</v>
      </c>
      <c r="Q43" s="971">
        <v>0</v>
      </c>
      <c r="R43" s="971">
        <v>0.27785419532324601</v>
      </c>
      <c r="S43" s="971">
        <v>0</v>
      </c>
      <c r="T43" s="971">
        <v>0.18294360385144401</v>
      </c>
      <c r="U43" s="971">
        <v>0</v>
      </c>
      <c r="V43" s="971">
        <v>0.25171939477304001</v>
      </c>
      <c r="X43" s="971">
        <f t="shared" si="13"/>
        <v>0</v>
      </c>
      <c r="Y43" s="971">
        <f t="shared" si="13"/>
        <v>28.154057771664352</v>
      </c>
      <c r="Z43" s="971">
        <f t="shared" si="14"/>
        <v>0</v>
      </c>
      <c r="AA43" s="971">
        <f t="shared" si="14"/>
        <v>31.170563961485577</v>
      </c>
      <c r="AB43" s="971">
        <f t="shared" si="15"/>
        <v>0</v>
      </c>
      <c r="AC43" s="971">
        <f t="shared" si="15"/>
        <v>73.40165061898243</v>
      </c>
      <c r="AD43" s="971">
        <f t="shared" si="16"/>
        <v>0</v>
      </c>
      <c r="AE43" s="971">
        <f t="shared" si="16"/>
        <v>203.11141678129283</v>
      </c>
      <c r="AF43" s="971">
        <f t="shared" si="17"/>
        <v>0</v>
      </c>
      <c r="AG43" s="971">
        <f t="shared" si="17"/>
        <v>133.73177441540557</v>
      </c>
      <c r="AH43" s="971">
        <f t="shared" si="18"/>
        <v>0</v>
      </c>
      <c r="AI43" s="971">
        <f t="shared" si="18"/>
        <v>184.00687757909225</v>
      </c>
      <c r="AL43" s="971">
        <v>0</v>
      </c>
      <c r="AM43" s="971">
        <v>8.2417582417582402E-2</v>
      </c>
      <c r="AO43">
        <f t="shared" si="19"/>
        <v>0</v>
      </c>
      <c r="AP43">
        <f t="shared" si="19"/>
        <v>60.247252747252737</v>
      </c>
      <c r="AS43" s="972">
        <v>0</v>
      </c>
      <c r="AT43" s="972">
        <v>9.7127222982216099E-2</v>
      </c>
      <c r="AU43" s="972">
        <f t="shared" si="8"/>
        <v>-0.1</v>
      </c>
      <c r="AV43" s="987">
        <f t="shared" si="8"/>
        <v>-2.8727770177839063E-3</v>
      </c>
      <c r="AX43">
        <f t="shared" si="9"/>
        <v>0</v>
      </c>
      <c r="AY43">
        <f t="shared" si="9"/>
        <v>0</v>
      </c>
      <c r="BA43" s="971">
        <v>8.9058524173027988E-3</v>
      </c>
      <c r="BC43">
        <f>BA43*D43</f>
        <v>6.5101781170483459</v>
      </c>
      <c r="BF43">
        <v>0.54643962848297201</v>
      </c>
      <c r="BG43" s="971">
        <f>BF43*D43</f>
        <v>399.44736842105254</v>
      </c>
      <c r="BK43" s="1240">
        <v>0</v>
      </c>
      <c r="BL43" s="1241">
        <v>0</v>
      </c>
    </row>
    <row r="44" spans="1:64" x14ac:dyDescent="0.2">
      <c r="A44" s="968" t="s">
        <v>41</v>
      </c>
      <c r="B44" s="969">
        <v>2627</v>
      </c>
      <c r="C44" s="970">
        <f>VLOOKUP($B44,AWPU!$B:$L,9,FALSE)</f>
        <v>392</v>
      </c>
      <c r="D44" s="970">
        <f>VLOOKUP(B44,AWPU!B:L,10,FALSE)+VLOOKUP('2015 Factor % to units'!B44,AWPU!B:L,11,FALSE)</f>
        <v>0</v>
      </c>
      <c r="E44" s="971">
        <v>8.7855297157622733E-2</v>
      </c>
      <c r="F44" s="971">
        <v>0</v>
      </c>
      <c r="G44" s="971">
        <f t="shared" si="12"/>
        <v>34.439276485788113</v>
      </c>
      <c r="H44" s="971">
        <f t="shared" si="12"/>
        <v>0</v>
      </c>
      <c r="K44" s="971">
        <v>4.0920716112532E-2</v>
      </c>
      <c r="L44" s="971">
        <v>0</v>
      </c>
      <c r="M44" s="971">
        <v>3.0690537084398999E-2</v>
      </c>
      <c r="N44" s="971">
        <v>0</v>
      </c>
      <c r="O44" s="971">
        <v>3.32480818414322E-2</v>
      </c>
      <c r="P44" s="971">
        <v>0</v>
      </c>
      <c r="Q44" s="971">
        <v>5.1150895140665001E-3</v>
      </c>
      <c r="R44" s="971">
        <v>0</v>
      </c>
      <c r="S44" s="971">
        <v>0</v>
      </c>
      <c r="T44" s="971">
        <v>0</v>
      </c>
      <c r="U44" s="971">
        <v>0</v>
      </c>
      <c r="V44" s="971">
        <v>0</v>
      </c>
      <c r="X44" s="971">
        <f t="shared" si="13"/>
        <v>16.040920716112545</v>
      </c>
      <c r="Y44" s="971">
        <f t="shared" si="13"/>
        <v>0</v>
      </c>
      <c r="Z44" s="971">
        <f t="shared" si="14"/>
        <v>12.030690537084407</v>
      </c>
      <c r="AA44" s="971">
        <f t="shared" si="14"/>
        <v>0</v>
      </c>
      <c r="AB44" s="971">
        <f t="shared" si="15"/>
        <v>13.033248081841423</v>
      </c>
      <c r="AC44" s="971">
        <f t="shared" si="15"/>
        <v>0</v>
      </c>
      <c r="AD44" s="971">
        <f t="shared" si="16"/>
        <v>2.0051150895140681</v>
      </c>
      <c r="AE44" s="971">
        <f t="shared" si="16"/>
        <v>0</v>
      </c>
      <c r="AF44" s="971">
        <f t="shared" si="17"/>
        <v>0</v>
      </c>
      <c r="AG44" s="971">
        <f t="shared" si="17"/>
        <v>0</v>
      </c>
      <c r="AH44" s="971">
        <f t="shared" si="18"/>
        <v>0</v>
      </c>
      <c r="AI44" s="971">
        <f t="shared" si="18"/>
        <v>0</v>
      </c>
      <c r="AL44" s="971">
        <v>9.9397590361445798E-2</v>
      </c>
      <c r="AM44" s="971">
        <v>0</v>
      </c>
      <c r="AO44">
        <f t="shared" si="19"/>
        <v>38.963855421686752</v>
      </c>
      <c r="AP44">
        <f t="shared" si="19"/>
        <v>0</v>
      </c>
      <c r="AS44" s="972">
        <v>6.3775510204081606E-2</v>
      </c>
      <c r="AT44" s="972">
        <v>0</v>
      </c>
      <c r="AU44" s="972">
        <f t="shared" si="8"/>
        <v>-3.6224489795918399E-2</v>
      </c>
      <c r="AV44" s="987">
        <f t="shared" si="8"/>
        <v>-0.1</v>
      </c>
      <c r="AX44">
        <f t="shared" si="9"/>
        <v>0</v>
      </c>
      <c r="AY44">
        <f t="shared" si="9"/>
        <v>0</v>
      </c>
      <c r="BA44" s="971">
        <v>0</v>
      </c>
      <c r="BC44">
        <f>BA44*C44</f>
        <v>0</v>
      </c>
      <c r="BF44">
        <v>0</v>
      </c>
      <c r="BG44" s="971"/>
      <c r="BK44" s="1240">
        <v>6.3775510204081606E-2</v>
      </c>
      <c r="BL44" s="1240">
        <v>0</v>
      </c>
    </row>
    <row r="45" spans="1:64" x14ac:dyDescent="0.2">
      <c r="A45" s="992" t="s">
        <v>1030</v>
      </c>
      <c r="B45" s="993">
        <v>2009</v>
      </c>
      <c r="C45" s="970">
        <f>VLOOKUP($B45,AWPU!$B:$L,9,FALSE)</f>
        <v>284</v>
      </c>
      <c r="D45" s="970">
        <f>VLOOKUP(B45,AWPU!B:L,10,FALSE)+VLOOKUP('2015 Factor % to units'!B45,AWPU!B:L,11,FALSE)</f>
        <v>0</v>
      </c>
      <c r="E45" s="971">
        <v>0.53214285714285714</v>
      </c>
      <c r="F45" s="971">
        <v>0</v>
      </c>
      <c r="G45" s="971">
        <f t="shared" si="12"/>
        <v>151.12857142857143</v>
      </c>
      <c r="H45" s="971">
        <f t="shared" si="12"/>
        <v>0</v>
      </c>
      <c r="K45" s="971">
        <v>1.4084507042253501E-2</v>
      </c>
      <c r="L45" s="971">
        <v>0</v>
      </c>
      <c r="M45" s="971">
        <v>3.8732394366197201E-2</v>
      </c>
      <c r="N45" s="971">
        <v>0</v>
      </c>
      <c r="O45" s="971">
        <v>3.1690140845070401E-2</v>
      </c>
      <c r="P45" s="971">
        <v>0</v>
      </c>
      <c r="Q45" s="971">
        <v>0.426056338028169</v>
      </c>
      <c r="R45" s="971">
        <v>0</v>
      </c>
      <c r="S45" s="971">
        <v>0.20070422535211299</v>
      </c>
      <c r="T45" s="971">
        <v>0</v>
      </c>
      <c r="U45" s="971">
        <v>0.161971830985915</v>
      </c>
      <c r="V45" s="971">
        <v>0</v>
      </c>
      <c r="X45" s="971">
        <f t="shared" si="13"/>
        <v>3.9999999999999942</v>
      </c>
      <c r="Y45" s="971">
        <f t="shared" si="13"/>
        <v>0</v>
      </c>
      <c r="Z45" s="971">
        <f t="shared" si="14"/>
        <v>11.000000000000005</v>
      </c>
      <c r="AA45" s="971">
        <f t="shared" si="14"/>
        <v>0</v>
      </c>
      <c r="AB45" s="971">
        <f t="shared" si="15"/>
        <v>8.9999999999999947</v>
      </c>
      <c r="AC45" s="971">
        <f t="shared" si="15"/>
        <v>0</v>
      </c>
      <c r="AD45" s="971">
        <f t="shared" si="16"/>
        <v>121</v>
      </c>
      <c r="AE45" s="971">
        <f t="shared" si="16"/>
        <v>0</v>
      </c>
      <c r="AF45" s="971">
        <f t="shared" si="17"/>
        <v>57.000000000000092</v>
      </c>
      <c r="AG45" s="971">
        <f t="shared" si="17"/>
        <v>0</v>
      </c>
      <c r="AH45" s="971">
        <f t="shared" si="18"/>
        <v>45.999999999999858</v>
      </c>
      <c r="AI45" s="971">
        <f t="shared" si="18"/>
        <v>0</v>
      </c>
      <c r="AL45" s="971">
        <v>6.4102564102564097E-2</v>
      </c>
      <c r="AM45" s="971">
        <v>0</v>
      </c>
      <c r="AO45">
        <f t="shared" si="19"/>
        <v>18.205128205128204</v>
      </c>
      <c r="AP45">
        <f t="shared" si="19"/>
        <v>0</v>
      </c>
      <c r="AS45" s="972">
        <v>7.0422535211267595E-2</v>
      </c>
      <c r="AT45" s="972">
        <v>0</v>
      </c>
      <c r="AU45" s="972">
        <f t="shared" si="8"/>
        <v>-2.957746478873241E-2</v>
      </c>
      <c r="AV45" s="987">
        <f t="shared" si="8"/>
        <v>-0.1</v>
      </c>
      <c r="AX45">
        <f t="shared" si="9"/>
        <v>0</v>
      </c>
      <c r="AY45">
        <f t="shared" si="9"/>
        <v>0</v>
      </c>
      <c r="BA45" s="971">
        <v>0</v>
      </c>
      <c r="BC45">
        <f>BA45*C45</f>
        <v>0</v>
      </c>
      <c r="BF45">
        <v>0</v>
      </c>
      <c r="BG45" s="971"/>
      <c r="BK45" s="1240">
        <v>7.0422535211267595E-2</v>
      </c>
      <c r="BL45" s="1240">
        <v>0</v>
      </c>
    </row>
    <row r="46" spans="1:64" x14ac:dyDescent="0.2">
      <c r="A46" s="968" t="s">
        <v>112</v>
      </c>
      <c r="B46" s="969">
        <v>5406</v>
      </c>
      <c r="C46" s="970">
        <f>VLOOKUP($B46,AWPU!$B:$L,9,FALSE)</f>
        <v>0</v>
      </c>
      <c r="D46" s="970">
        <f>VLOOKUP(B46,AWPU!B:L,10,FALSE)+VLOOKUP('2015 Factor % to units'!B46,AWPU!B:L,11,FALSE)</f>
        <v>855</v>
      </c>
      <c r="E46" s="971">
        <v>0</v>
      </c>
      <c r="F46" s="971">
        <v>0.36078886310904873</v>
      </c>
      <c r="G46" s="971">
        <f t="shared" si="12"/>
        <v>0</v>
      </c>
      <c r="H46" s="971">
        <f t="shared" si="12"/>
        <v>308.47447795823666</v>
      </c>
      <c r="K46" s="971">
        <v>0</v>
      </c>
      <c r="L46" s="971">
        <v>0.11032863849765299</v>
      </c>
      <c r="M46" s="971">
        <v>0</v>
      </c>
      <c r="N46" s="971">
        <v>0.15962441314553999</v>
      </c>
      <c r="O46" s="971">
        <v>0</v>
      </c>
      <c r="P46" s="971">
        <v>0.25234741784037601</v>
      </c>
      <c r="Q46" s="971">
        <v>0</v>
      </c>
      <c r="R46" s="971">
        <v>5.39906103286385E-2</v>
      </c>
      <c r="S46" s="971">
        <v>0</v>
      </c>
      <c r="T46" s="971">
        <v>7.2769953051643202E-2</v>
      </c>
      <c r="U46" s="971">
        <v>0</v>
      </c>
      <c r="V46" s="971">
        <v>1.5258215962441301E-2</v>
      </c>
      <c r="X46" s="971">
        <f t="shared" si="13"/>
        <v>0</v>
      </c>
      <c r="Y46" s="971">
        <f t="shared" si="13"/>
        <v>94.330985915493315</v>
      </c>
      <c r="Z46" s="971">
        <f t="shared" si="14"/>
        <v>0</v>
      </c>
      <c r="AA46" s="971">
        <f t="shared" si="14"/>
        <v>136.47887323943669</v>
      </c>
      <c r="AB46" s="971">
        <f t="shared" si="15"/>
        <v>0</v>
      </c>
      <c r="AC46" s="971">
        <f t="shared" si="15"/>
        <v>215.75704225352149</v>
      </c>
      <c r="AD46" s="971">
        <f t="shared" si="16"/>
        <v>0</v>
      </c>
      <c r="AE46" s="971">
        <f t="shared" si="16"/>
        <v>46.161971830985919</v>
      </c>
      <c r="AF46" s="971">
        <f t="shared" si="17"/>
        <v>0</v>
      </c>
      <c r="AG46" s="971">
        <f t="shared" si="17"/>
        <v>62.218309859154935</v>
      </c>
      <c r="AH46" s="971">
        <f t="shared" si="18"/>
        <v>0</v>
      </c>
      <c r="AI46" s="971">
        <f t="shared" si="18"/>
        <v>13.045774647887312</v>
      </c>
      <c r="AL46" s="971">
        <v>0</v>
      </c>
      <c r="AM46" s="971">
        <v>3.6470588235294102E-2</v>
      </c>
      <c r="AO46">
        <f t="shared" si="19"/>
        <v>0</v>
      </c>
      <c r="AP46">
        <f t="shared" si="19"/>
        <v>31.182352941176458</v>
      </c>
      <c r="AS46" s="972">
        <v>0</v>
      </c>
      <c r="AT46" s="972">
        <v>9.9415204678362595E-2</v>
      </c>
      <c r="AU46" s="972">
        <f t="shared" si="8"/>
        <v>-0.1</v>
      </c>
      <c r="AV46" s="987">
        <f t="shared" si="8"/>
        <v>-5.8479532163741021E-4</v>
      </c>
      <c r="AX46">
        <f t="shared" si="9"/>
        <v>0</v>
      </c>
      <c r="AY46">
        <f t="shared" si="9"/>
        <v>0</v>
      </c>
      <c r="BA46" s="971">
        <v>4.6403712296983757E-3</v>
      </c>
      <c r="BC46">
        <f>BA46*D46</f>
        <v>3.9675174013921111</v>
      </c>
      <c r="BF46">
        <v>0.29183400267737603</v>
      </c>
      <c r="BG46" s="971">
        <f>BF46*D46</f>
        <v>249.51807228915649</v>
      </c>
      <c r="BK46" s="1240">
        <v>0</v>
      </c>
      <c r="BL46" s="1240">
        <v>9.9415204678362595E-2</v>
      </c>
    </row>
    <row r="47" spans="1:64" x14ac:dyDescent="0.2">
      <c r="A47" s="968" t="s">
        <v>113</v>
      </c>
      <c r="B47" s="969">
        <v>5407</v>
      </c>
      <c r="C47" s="970">
        <f>VLOOKUP($B47,AWPU!$B:$L,9,FALSE)</f>
        <v>0</v>
      </c>
      <c r="D47" s="970">
        <f>VLOOKUP(B47,AWPU!B:L,10,FALSE)+VLOOKUP('2015 Factor % to units'!B47,AWPU!B:L,11,FALSE)</f>
        <v>1035</v>
      </c>
      <c r="E47" s="971">
        <v>0</v>
      </c>
      <c r="F47" s="971">
        <v>0.426441351888668</v>
      </c>
      <c r="G47" s="971">
        <f t="shared" si="12"/>
        <v>0</v>
      </c>
      <c r="H47" s="971">
        <f t="shared" si="12"/>
        <v>441.36679920477138</v>
      </c>
      <c r="K47" s="971">
        <v>0</v>
      </c>
      <c r="L47" s="971">
        <v>5.1207729468599E-2</v>
      </c>
      <c r="M47" s="971">
        <v>0</v>
      </c>
      <c r="N47" s="971">
        <v>6.9565217391304293E-2</v>
      </c>
      <c r="O47" s="971">
        <v>0</v>
      </c>
      <c r="P47" s="971">
        <v>0.13719806763285</v>
      </c>
      <c r="Q47" s="971">
        <v>0</v>
      </c>
      <c r="R47" s="971">
        <v>0.22028985507246401</v>
      </c>
      <c r="S47" s="971">
        <v>0</v>
      </c>
      <c r="T47" s="971">
        <v>0.14396135265700499</v>
      </c>
      <c r="U47" s="971">
        <v>0</v>
      </c>
      <c r="V47" s="971">
        <v>6.08695652173913E-2</v>
      </c>
      <c r="X47" s="971">
        <f t="shared" si="13"/>
        <v>0</v>
      </c>
      <c r="Y47" s="971">
        <f t="shared" si="13"/>
        <v>52.999999999999964</v>
      </c>
      <c r="Z47" s="971">
        <f t="shared" si="14"/>
        <v>0</v>
      </c>
      <c r="AA47" s="971">
        <f t="shared" si="14"/>
        <v>71.999999999999943</v>
      </c>
      <c r="AB47" s="971">
        <f t="shared" si="15"/>
        <v>0</v>
      </c>
      <c r="AC47" s="971">
        <f t="shared" si="15"/>
        <v>141.99999999999974</v>
      </c>
      <c r="AD47" s="971">
        <f t="shared" si="16"/>
        <v>0</v>
      </c>
      <c r="AE47" s="971">
        <f t="shared" si="16"/>
        <v>228.00000000000026</v>
      </c>
      <c r="AF47" s="971">
        <f t="shared" si="17"/>
        <v>0</v>
      </c>
      <c r="AG47" s="971">
        <f t="shared" si="17"/>
        <v>149.00000000000017</v>
      </c>
      <c r="AH47" s="971">
        <f t="shared" si="18"/>
        <v>0</v>
      </c>
      <c r="AI47" s="971">
        <f t="shared" si="18"/>
        <v>62.999999999999993</v>
      </c>
      <c r="AL47" s="971">
        <v>0</v>
      </c>
      <c r="AM47" s="971">
        <v>2.41545893719807E-2</v>
      </c>
      <c r="AO47">
        <f t="shared" si="19"/>
        <v>0</v>
      </c>
      <c r="AP47">
        <f t="shared" si="19"/>
        <v>25.000000000000025</v>
      </c>
      <c r="AS47" s="972">
        <v>0</v>
      </c>
      <c r="AT47" s="972">
        <v>7.5362318840579701E-2</v>
      </c>
      <c r="AU47" s="972">
        <f t="shared" si="8"/>
        <v>-0.1</v>
      </c>
      <c r="AV47" s="987">
        <f t="shared" si="8"/>
        <v>-2.4637681159420305E-2</v>
      </c>
      <c r="AX47">
        <f t="shared" si="9"/>
        <v>0</v>
      </c>
      <c r="AY47">
        <f t="shared" si="9"/>
        <v>0</v>
      </c>
      <c r="BA47" s="971">
        <v>5.9701492537313433E-3</v>
      </c>
      <c r="BC47">
        <f>BA47*D47</f>
        <v>6.1791044776119399</v>
      </c>
      <c r="BF47">
        <v>0.34475597092419502</v>
      </c>
      <c r="BG47" s="971">
        <f>BF47*D47</f>
        <v>356.82242990654186</v>
      </c>
      <c r="BK47" s="1240">
        <v>0</v>
      </c>
      <c r="BL47" s="1240">
        <v>7.5362318840579701E-2</v>
      </c>
    </row>
    <row r="48" spans="1:64" x14ac:dyDescent="0.2">
      <c r="A48" s="968" t="s">
        <v>101</v>
      </c>
      <c r="B48" s="969">
        <v>2473</v>
      </c>
      <c r="C48" s="970">
        <f>VLOOKUP($B48,AWPU!$B:$L,9,FALSE)</f>
        <v>269</v>
      </c>
      <c r="D48" s="970">
        <f>VLOOKUP(B48,AWPU!B:L,10,FALSE)+VLOOKUP('2015 Factor % to units'!B48,AWPU!B:L,11,FALSE)</f>
        <v>0</v>
      </c>
      <c r="E48" s="971">
        <v>0.33460076045627374</v>
      </c>
      <c r="F48" s="971">
        <v>0</v>
      </c>
      <c r="G48" s="971">
        <f t="shared" si="12"/>
        <v>90.00760456273764</v>
      </c>
      <c r="H48" s="971">
        <f t="shared" si="12"/>
        <v>0</v>
      </c>
      <c r="K48" s="971">
        <v>7.4626865671641798E-3</v>
      </c>
      <c r="L48" s="971">
        <v>0</v>
      </c>
      <c r="M48" s="971">
        <v>8.5820895522388099E-2</v>
      </c>
      <c r="N48" s="971">
        <v>0</v>
      </c>
      <c r="O48" s="971">
        <v>0.16044776119403001</v>
      </c>
      <c r="P48" s="971">
        <v>0</v>
      </c>
      <c r="Q48" s="971">
        <v>0.111940298507463</v>
      </c>
      <c r="R48" s="971">
        <v>0</v>
      </c>
      <c r="S48" s="971">
        <v>0.26865671641791</v>
      </c>
      <c r="T48" s="971">
        <v>0</v>
      </c>
      <c r="U48" s="971">
        <v>1.49253731343284E-2</v>
      </c>
      <c r="V48" s="971">
        <v>0</v>
      </c>
      <c r="X48" s="971">
        <f t="shared" si="13"/>
        <v>2.0074626865671643</v>
      </c>
      <c r="Y48" s="971">
        <f t="shared" si="13"/>
        <v>0</v>
      </c>
      <c r="Z48" s="971">
        <f t="shared" si="14"/>
        <v>23.085820895522399</v>
      </c>
      <c r="AA48" s="971">
        <f t="shared" si="14"/>
        <v>0</v>
      </c>
      <c r="AB48" s="971">
        <f t="shared" si="15"/>
        <v>43.160447761194071</v>
      </c>
      <c r="AC48" s="971">
        <f t="shared" si="15"/>
        <v>0</v>
      </c>
      <c r="AD48" s="971">
        <f t="shared" si="16"/>
        <v>30.111940298507545</v>
      </c>
      <c r="AE48" s="971">
        <f t="shared" si="16"/>
        <v>0</v>
      </c>
      <c r="AF48" s="971">
        <f t="shared" si="17"/>
        <v>72.268656716417794</v>
      </c>
      <c r="AG48" s="971">
        <f t="shared" si="17"/>
        <v>0</v>
      </c>
      <c r="AH48" s="971">
        <f t="shared" si="18"/>
        <v>4.0149253731343393</v>
      </c>
      <c r="AI48" s="971">
        <f t="shared" si="18"/>
        <v>0</v>
      </c>
      <c r="AL48" s="971">
        <v>5.5555555555555601E-3</v>
      </c>
      <c r="AM48" s="971">
        <v>0</v>
      </c>
      <c r="AO48">
        <f t="shared" si="19"/>
        <v>1.4944444444444456</v>
      </c>
      <c r="AP48">
        <f t="shared" si="19"/>
        <v>0</v>
      </c>
      <c r="AS48" s="972">
        <v>2.9739776951672899E-2</v>
      </c>
      <c r="AT48" s="972">
        <v>0</v>
      </c>
      <c r="AU48" s="972">
        <f t="shared" si="8"/>
        <v>-7.0260223048327103E-2</v>
      </c>
      <c r="AV48" s="987">
        <f t="shared" si="8"/>
        <v>-0.1</v>
      </c>
      <c r="AX48">
        <f t="shared" si="9"/>
        <v>0</v>
      </c>
      <c r="AY48">
        <f t="shared" si="9"/>
        <v>0</v>
      </c>
      <c r="BA48" s="971">
        <v>0</v>
      </c>
      <c r="BC48">
        <f t="shared" ref="BC48:BC62" si="20">BA48*C48</f>
        <v>0</v>
      </c>
      <c r="BF48">
        <v>0</v>
      </c>
      <c r="BG48" s="971"/>
      <c r="BK48" s="1240">
        <v>2.9739776951672899E-2</v>
      </c>
      <c r="BL48" s="1240">
        <v>0</v>
      </c>
    </row>
    <row r="49" spans="1:64" x14ac:dyDescent="0.2">
      <c r="A49" s="968" t="s">
        <v>44</v>
      </c>
      <c r="B49" s="969">
        <v>2471</v>
      </c>
      <c r="C49" s="970">
        <f>VLOOKUP($B49,AWPU!$B:$L,9,FALSE)</f>
        <v>350</v>
      </c>
      <c r="D49" s="970">
        <f>VLOOKUP(B49,AWPU!B:L,10,FALSE)+VLOOKUP('2015 Factor % to units'!B49,AWPU!B:L,11,FALSE)</f>
        <v>0</v>
      </c>
      <c r="E49" s="971">
        <v>0.41907514450867051</v>
      </c>
      <c r="F49" s="971">
        <v>0</v>
      </c>
      <c r="G49" s="971">
        <f t="shared" si="12"/>
        <v>146.67630057803467</v>
      </c>
      <c r="H49" s="971">
        <f t="shared" si="12"/>
        <v>0</v>
      </c>
      <c r="K49" s="971">
        <v>1.4367816091954E-2</v>
      </c>
      <c r="L49" s="971">
        <v>0</v>
      </c>
      <c r="M49" s="971">
        <v>6.8965517241379296E-2</v>
      </c>
      <c r="N49" s="971">
        <v>0</v>
      </c>
      <c r="O49" s="971">
        <v>0.16666666666666699</v>
      </c>
      <c r="P49" s="971">
        <v>0</v>
      </c>
      <c r="Q49" s="971">
        <v>0.11206896551724101</v>
      </c>
      <c r="R49" s="971">
        <v>0</v>
      </c>
      <c r="S49" s="971">
        <v>0.21839080459770099</v>
      </c>
      <c r="T49" s="971">
        <v>0</v>
      </c>
      <c r="U49" s="971">
        <v>2.0114942528735601E-2</v>
      </c>
      <c r="V49" s="971">
        <v>0</v>
      </c>
      <c r="X49" s="971">
        <f t="shared" si="13"/>
        <v>5.0287356321839001</v>
      </c>
      <c r="Y49" s="971">
        <f t="shared" si="13"/>
        <v>0</v>
      </c>
      <c r="Z49" s="971">
        <f t="shared" si="14"/>
        <v>24.137931034482754</v>
      </c>
      <c r="AA49" s="971">
        <f t="shared" si="14"/>
        <v>0</v>
      </c>
      <c r="AB49" s="971">
        <f t="shared" si="15"/>
        <v>58.333333333333449</v>
      </c>
      <c r="AC49" s="971">
        <f t="shared" si="15"/>
        <v>0</v>
      </c>
      <c r="AD49" s="971">
        <f t="shared" si="16"/>
        <v>39.224137931034349</v>
      </c>
      <c r="AE49" s="971">
        <f t="shared" si="16"/>
        <v>0</v>
      </c>
      <c r="AF49" s="971">
        <f t="shared" si="17"/>
        <v>76.43678160919535</v>
      </c>
      <c r="AG49" s="971">
        <f t="shared" si="17"/>
        <v>0</v>
      </c>
      <c r="AH49" s="971">
        <f t="shared" si="18"/>
        <v>7.0402298850574603</v>
      </c>
      <c r="AI49" s="971">
        <f t="shared" si="18"/>
        <v>0</v>
      </c>
      <c r="AL49" s="971">
        <v>8.6206896551724102E-3</v>
      </c>
      <c r="AM49" s="971">
        <v>0</v>
      </c>
      <c r="AO49">
        <f t="shared" si="19"/>
        <v>3.0172413793103434</v>
      </c>
      <c r="AP49">
        <f t="shared" si="19"/>
        <v>0</v>
      </c>
      <c r="AS49" s="972">
        <v>4.8571428571428599E-2</v>
      </c>
      <c r="AT49" s="972">
        <v>0</v>
      </c>
      <c r="AU49" s="972">
        <f t="shared" si="8"/>
        <v>-5.1428571428571407E-2</v>
      </c>
      <c r="AV49" s="987">
        <f t="shared" si="8"/>
        <v>-0.1</v>
      </c>
      <c r="AX49">
        <f t="shared" si="9"/>
        <v>0</v>
      </c>
      <c r="AY49">
        <f t="shared" si="9"/>
        <v>0</v>
      </c>
      <c r="BA49" s="971">
        <v>2.8901734104046241E-3</v>
      </c>
      <c r="BC49">
        <f t="shared" si="20"/>
        <v>1.0115606936416184</v>
      </c>
      <c r="BF49">
        <v>0</v>
      </c>
      <c r="BG49" s="971"/>
      <c r="BK49" s="1240">
        <v>4.8571428571428599E-2</v>
      </c>
      <c r="BL49" s="1240">
        <v>0</v>
      </c>
    </row>
    <row r="50" spans="1:64" x14ac:dyDescent="0.2">
      <c r="A50" s="968" t="s">
        <v>43</v>
      </c>
      <c r="B50" s="969">
        <v>2420</v>
      </c>
      <c r="C50" s="970">
        <f>VLOOKUP($B50,AWPU!$B:$L,9,FALSE)</f>
        <v>503</v>
      </c>
      <c r="D50" s="970">
        <f>VLOOKUP(B50,AWPU!B:L,10,FALSE)+VLOOKUP('2015 Factor % to units'!B50,AWPU!B:L,11,FALSE)</f>
        <v>0</v>
      </c>
      <c r="E50" s="971">
        <v>0.64179104477611937</v>
      </c>
      <c r="F50" s="971">
        <v>0</v>
      </c>
      <c r="G50" s="971">
        <f t="shared" si="12"/>
        <v>322.82089552238801</v>
      </c>
      <c r="H50" s="971">
        <f t="shared" si="12"/>
        <v>0</v>
      </c>
      <c r="K50" s="971">
        <v>0</v>
      </c>
      <c r="L50" s="971">
        <v>0</v>
      </c>
      <c r="M50" s="971">
        <v>1.3972055888223599E-2</v>
      </c>
      <c r="N50" s="971">
        <v>0</v>
      </c>
      <c r="O50" s="971">
        <v>9.5808383233532898E-2</v>
      </c>
      <c r="P50" s="971">
        <v>0</v>
      </c>
      <c r="Q50" s="971">
        <v>0.117764471057884</v>
      </c>
      <c r="R50" s="971">
        <v>0</v>
      </c>
      <c r="S50" s="971">
        <v>0.159680638722555</v>
      </c>
      <c r="T50" s="971">
        <v>0</v>
      </c>
      <c r="U50" s="971">
        <v>0.60878243512974095</v>
      </c>
      <c r="V50" s="971">
        <v>0</v>
      </c>
      <c r="X50" s="971">
        <f t="shared" si="13"/>
        <v>0</v>
      </c>
      <c r="Y50" s="971">
        <f t="shared" si="13"/>
        <v>0</v>
      </c>
      <c r="Z50" s="971">
        <f t="shared" si="14"/>
        <v>7.0279441117764705</v>
      </c>
      <c r="AA50" s="971">
        <f t="shared" si="14"/>
        <v>0</v>
      </c>
      <c r="AB50" s="971">
        <f t="shared" si="15"/>
        <v>48.19161676646705</v>
      </c>
      <c r="AC50" s="971">
        <f t="shared" si="15"/>
        <v>0</v>
      </c>
      <c r="AD50" s="971">
        <f t="shared" si="16"/>
        <v>59.23552894211565</v>
      </c>
      <c r="AE50" s="971">
        <f t="shared" si="16"/>
        <v>0</v>
      </c>
      <c r="AF50" s="971">
        <f t="shared" si="17"/>
        <v>80.319361277445168</v>
      </c>
      <c r="AG50" s="971">
        <f t="shared" si="17"/>
        <v>0</v>
      </c>
      <c r="AH50" s="971">
        <f t="shared" si="18"/>
        <v>306.21756487025971</v>
      </c>
      <c r="AI50" s="971">
        <f t="shared" si="18"/>
        <v>0</v>
      </c>
      <c r="AL50" s="971">
        <v>0.31175059952038398</v>
      </c>
      <c r="AM50" s="971">
        <v>0</v>
      </c>
      <c r="AO50">
        <f t="shared" si="19"/>
        <v>156.81055155875313</v>
      </c>
      <c r="AP50">
        <f t="shared" si="19"/>
        <v>0</v>
      </c>
      <c r="AS50" s="972">
        <v>0.20477137176938401</v>
      </c>
      <c r="AT50" s="972">
        <v>0</v>
      </c>
      <c r="AU50" s="972">
        <f t="shared" si="8"/>
        <v>0.104771371769384</v>
      </c>
      <c r="AV50" s="987">
        <f t="shared" si="8"/>
        <v>-0.1</v>
      </c>
      <c r="AX50">
        <f t="shared" si="9"/>
        <v>52.700000000000152</v>
      </c>
      <c r="AY50">
        <f t="shared" si="9"/>
        <v>0</v>
      </c>
      <c r="BA50" s="971">
        <v>6.3965884861407248E-3</v>
      </c>
      <c r="BC50">
        <f t="shared" si="20"/>
        <v>3.2174840085287846</v>
      </c>
      <c r="BF50">
        <v>0</v>
      </c>
      <c r="BG50" s="971"/>
      <c r="BK50" s="1240">
        <v>0.20477137176938401</v>
      </c>
      <c r="BL50" s="1240">
        <v>0</v>
      </c>
    </row>
    <row r="51" spans="1:64" x14ac:dyDescent="0.2">
      <c r="A51" s="968" t="s">
        <v>45</v>
      </c>
      <c r="B51" s="969">
        <v>2003</v>
      </c>
      <c r="C51" s="970">
        <f>VLOOKUP($B51,AWPU!$B:$L,9,FALSE)</f>
        <v>213</v>
      </c>
      <c r="D51" s="970">
        <f>VLOOKUP(B51,AWPU!B:L,10,FALSE)+VLOOKUP('2015 Factor % to units'!B51,AWPU!B:L,11,FALSE)</f>
        <v>0</v>
      </c>
      <c r="E51" s="971">
        <v>7.1090047393364927E-2</v>
      </c>
      <c r="F51" s="971">
        <v>0</v>
      </c>
      <c r="G51" s="971">
        <f t="shared" si="12"/>
        <v>15.142180094786729</v>
      </c>
      <c r="H51" s="971">
        <f t="shared" si="12"/>
        <v>0</v>
      </c>
      <c r="K51" s="971">
        <v>3.7558685446009397E-2</v>
      </c>
      <c r="L51" s="971">
        <v>0</v>
      </c>
      <c r="M51" s="971">
        <v>4.6948356807511703E-3</v>
      </c>
      <c r="N51" s="971">
        <v>0</v>
      </c>
      <c r="O51" s="971">
        <v>9.3896713615023494E-3</v>
      </c>
      <c r="P51" s="971">
        <v>0</v>
      </c>
      <c r="Q51" s="971">
        <v>0</v>
      </c>
      <c r="R51" s="971">
        <v>0</v>
      </c>
      <c r="S51" s="971">
        <v>0</v>
      </c>
      <c r="T51" s="971">
        <v>0</v>
      </c>
      <c r="U51" s="971">
        <v>0</v>
      </c>
      <c r="V51" s="971">
        <v>0</v>
      </c>
      <c r="X51" s="971">
        <f t="shared" si="13"/>
        <v>8.0000000000000018</v>
      </c>
      <c r="Y51" s="971">
        <f t="shared" si="13"/>
        <v>0</v>
      </c>
      <c r="Z51" s="971">
        <f t="shared" si="14"/>
        <v>0.99999999999999933</v>
      </c>
      <c r="AA51" s="971">
        <f t="shared" si="14"/>
        <v>0</v>
      </c>
      <c r="AB51" s="971">
        <f t="shared" si="15"/>
        <v>2.0000000000000004</v>
      </c>
      <c r="AC51" s="971">
        <f t="shared" si="15"/>
        <v>0</v>
      </c>
      <c r="AD51" s="971">
        <f t="shared" si="16"/>
        <v>0</v>
      </c>
      <c r="AE51" s="971">
        <f t="shared" si="16"/>
        <v>0</v>
      </c>
      <c r="AF51" s="971">
        <f t="shared" si="17"/>
        <v>0</v>
      </c>
      <c r="AG51" s="971">
        <f t="shared" si="17"/>
        <v>0</v>
      </c>
      <c r="AH51" s="971">
        <f t="shared" si="18"/>
        <v>0</v>
      </c>
      <c r="AI51" s="971">
        <f t="shared" si="18"/>
        <v>0</v>
      </c>
      <c r="AL51" s="971">
        <v>0</v>
      </c>
      <c r="AM51" s="971">
        <v>0</v>
      </c>
      <c r="AO51">
        <f t="shared" si="19"/>
        <v>0</v>
      </c>
      <c r="AP51">
        <f t="shared" si="19"/>
        <v>0</v>
      </c>
      <c r="AS51" s="972">
        <v>4.69483568075117E-2</v>
      </c>
      <c r="AT51" s="972">
        <v>0</v>
      </c>
      <c r="AU51" s="972">
        <f t="shared" si="8"/>
        <v>-5.3051643192488306E-2</v>
      </c>
      <c r="AV51" s="987">
        <f t="shared" si="8"/>
        <v>-0.1</v>
      </c>
      <c r="AX51">
        <f t="shared" si="9"/>
        <v>0</v>
      </c>
      <c r="AY51">
        <f t="shared" si="9"/>
        <v>0</v>
      </c>
      <c r="BA51" s="971">
        <v>4.7393364928909956E-3</v>
      </c>
      <c r="BC51">
        <f t="shared" si="20"/>
        <v>1.0094786729857821</v>
      </c>
      <c r="BF51">
        <v>0</v>
      </c>
      <c r="BG51" s="971"/>
      <c r="BK51" s="1240">
        <v>4.69483568075117E-2</v>
      </c>
      <c r="BL51" s="1240">
        <v>0</v>
      </c>
    </row>
    <row r="52" spans="1:64" x14ac:dyDescent="0.2">
      <c r="A52" s="968" t="s">
        <v>46</v>
      </c>
      <c r="B52" s="969">
        <v>2423</v>
      </c>
      <c r="C52" s="970">
        <f>VLOOKUP($B52,AWPU!$B:$L,9,FALSE)</f>
        <v>333</v>
      </c>
      <c r="D52" s="970">
        <f>VLOOKUP(B52,AWPU!B:L,10,FALSE)+VLOOKUP('2015 Factor % to units'!B52,AWPU!B:L,11,FALSE)</f>
        <v>0</v>
      </c>
      <c r="E52" s="971">
        <v>0.59888579387186625</v>
      </c>
      <c r="F52" s="971">
        <v>0</v>
      </c>
      <c r="G52" s="971">
        <f t="shared" si="12"/>
        <v>199.42896935933146</v>
      </c>
      <c r="H52" s="971">
        <f t="shared" si="12"/>
        <v>0</v>
      </c>
      <c r="K52" s="971">
        <v>0</v>
      </c>
      <c r="L52" s="971">
        <v>0</v>
      </c>
      <c r="M52" s="971">
        <v>5.4380664652568002E-2</v>
      </c>
      <c r="N52" s="971">
        <v>0</v>
      </c>
      <c r="O52" s="971">
        <v>0.45619335347432</v>
      </c>
      <c r="P52" s="971">
        <v>0</v>
      </c>
      <c r="Q52" s="971">
        <v>0.28398791540785501</v>
      </c>
      <c r="R52" s="971">
        <v>0</v>
      </c>
      <c r="S52" s="971">
        <v>0.132930513595166</v>
      </c>
      <c r="T52" s="971">
        <v>0</v>
      </c>
      <c r="U52" s="971">
        <v>5.1359516616314202E-2</v>
      </c>
      <c r="V52" s="971">
        <v>0</v>
      </c>
      <c r="X52" s="971">
        <f t="shared" si="13"/>
        <v>0</v>
      </c>
      <c r="Y52" s="971">
        <f t="shared" si="13"/>
        <v>0</v>
      </c>
      <c r="Z52" s="971">
        <f t="shared" si="14"/>
        <v>18.108761329305146</v>
      </c>
      <c r="AA52" s="971">
        <f t="shared" si="14"/>
        <v>0</v>
      </c>
      <c r="AB52" s="971">
        <f t="shared" si="15"/>
        <v>151.91238670694855</v>
      </c>
      <c r="AC52" s="971">
        <f t="shared" si="15"/>
        <v>0</v>
      </c>
      <c r="AD52" s="971">
        <f t="shared" si="16"/>
        <v>94.567975830815712</v>
      </c>
      <c r="AE52" s="971">
        <f t="shared" si="16"/>
        <v>0</v>
      </c>
      <c r="AF52" s="971">
        <f t="shared" si="17"/>
        <v>44.265861027190276</v>
      </c>
      <c r="AG52" s="971">
        <f t="shared" si="17"/>
        <v>0</v>
      </c>
      <c r="AH52" s="971">
        <f t="shared" si="18"/>
        <v>17.102719033232628</v>
      </c>
      <c r="AI52" s="971">
        <f t="shared" si="18"/>
        <v>0</v>
      </c>
      <c r="AL52" s="971">
        <v>0.37230769230769201</v>
      </c>
      <c r="AM52" s="971">
        <v>0</v>
      </c>
      <c r="AO52">
        <f t="shared" si="19"/>
        <v>123.97846153846143</v>
      </c>
      <c r="AP52">
        <f t="shared" si="19"/>
        <v>0</v>
      </c>
      <c r="AS52" s="972">
        <v>0.15915915915915901</v>
      </c>
      <c r="AT52" s="972">
        <v>0</v>
      </c>
      <c r="AU52" s="972">
        <f t="shared" si="8"/>
        <v>5.9159159159159008E-2</v>
      </c>
      <c r="AV52" s="987">
        <f t="shared" si="8"/>
        <v>-0.1</v>
      </c>
      <c r="AX52">
        <f t="shared" si="9"/>
        <v>19.69999999999995</v>
      </c>
      <c r="AY52">
        <f t="shared" si="9"/>
        <v>0</v>
      </c>
      <c r="BA52" s="971">
        <v>5.5710306406685237E-3</v>
      </c>
      <c r="BC52">
        <f t="shared" si="20"/>
        <v>1.8551532033426184</v>
      </c>
      <c r="BF52">
        <v>0</v>
      </c>
      <c r="BG52" s="971"/>
      <c r="BK52" s="1240">
        <v>0.15915915915915901</v>
      </c>
      <c r="BL52" s="1240">
        <v>0</v>
      </c>
    </row>
    <row r="53" spans="1:64" x14ac:dyDescent="0.2">
      <c r="A53" s="968" t="s">
        <v>47</v>
      </c>
      <c r="B53" s="969">
        <v>2424</v>
      </c>
      <c r="C53" s="970">
        <f>VLOOKUP($B53,AWPU!$B:$L,9,FALSE)</f>
        <v>270</v>
      </c>
      <c r="D53" s="970">
        <f>VLOOKUP(B53,AWPU!B:L,10,FALSE)+VLOOKUP('2015 Factor % to units'!B53,AWPU!B:L,11,FALSE)</f>
        <v>0</v>
      </c>
      <c r="E53" s="971">
        <v>0.50553505535055354</v>
      </c>
      <c r="F53" s="971">
        <v>0</v>
      </c>
      <c r="G53" s="971">
        <f t="shared" si="12"/>
        <v>136.49446494464945</v>
      </c>
      <c r="H53" s="971">
        <f t="shared" si="12"/>
        <v>0</v>
      </c>
      <c r="K53" s="971">
        <v>3.7174721189591098E-3</v>
      </c>
      <c r="L53" s="971">
        <v>0</v>
      </c>
      <c r="M53" s="971">
        <v>1.11524163568773E-2</v>
      </c>
      <c r="N53" s="971">
        <v>0</v>
      </c>
      <c r="O53" s="971">
        <v>0.42379182156133799</v>
      </c>
      <c r="P53" s="971">
        <v>0</v>
      </c>
      <c r="Q53" s="971">
        <v>0.42007434944237898</v>
      </c>
      <c r="R53" s="971">
        <v>0</v>
      </c>
      <c r="S53" s="971">
        <v>9.6654275092936795E-2</v>
      </c>
      <c r="T53" s="971">
        <v>0</v>
      </c>
      <c r="U53" s="971">
        <v>2.60223048327138E-2</v>
      </c>
      <c r="V53" s="971">
        <v>0</v>
      </c>
      <c r="X53" s="971">
        <f t="shared" si="13"/>
        <v>1.0037174721189597</v>
      </c>
      <c r="Y53" s="971">
        <f t="shared" si="13"/>
        <v>0</v>
      </c>
      <c r="Z53" s="971">
        <f t="shared" si="14"/>
        <v>3.0111524163568713</v>
      </c>
      <c r="AA53" s="971">
        <f t="shared" si="14"/>
        <v>0</v>
      </c>
      <c r="AB53" s="971">
        <f t="shared" si="15"/>
        <v>114.42379182156125</v>
      </c>
      <c r="AC53" s="971">
        <f t="shared" si="15"/>
        <v>0</v>
      </c>
      <c r="AD53" s="971">
        <f t="shared" si="16"/>
        <v>113.42007434944233</v>
      </c>
      <c r="AE53" s="971">
        <f t="shared" si="16"/>
        <v>0</v>
      </c>
      <c r="AF53" s="971">
        <f t="shared" si="17"/>
        <v>26.096654275092934</v>
      </c>
      <c r="AG53" s="971">
        <f t="shared" si="17"/>
        <v>0</v>
      </c>
      <c r="AH53" s="971">
        <f t="shared" si="18"/>
        <v>7.0260223048327264</v>
      </c>
      <c r="AI53" s="971">
        <f t="shared" si="18"/>
        <v>0</v>
      </c>
      <c r="AL53" s="971">
        <v>0.71590909090909105</v>
      </c>
      <c r="AM53" s="971">
        <v>0</v>
      </c>
      <c r="AO53">
        <f t="shared" si="19"/>
        <v>193.29545454545459</v>
      </c>
      <c r="AP53">
        <f t="shared" si="19"/>
        <v>0</v>
      </c>
      <c r="AS53" s="972">
        <v>8.1481481481481502E-2</v>
      </c>
      <c r="AT53" s="972">
        <v>0</v>
      </c>
      <c r="AU53" s="972">
        <f t="shared" si="8"/>
        <v>-1.8518518518518504E-2</v>
      </c>
      <c r="AV53" s="987">
        <f t="shared" si="8"/>
        <v>-0.1</v>
      </c>
      <c r="AX53">
        <f t="shared" si="9"/>
        <v>0</v>
      </c>
      <c r="AY53">
        <f t="shared" si="9"/>
        <v>0</v>
      </c>
      <c r="BA53" s="971">
        <v>3.6900369003690036E-3</v>
      </c>
      <c r="BC53">
        <f t="shared" si="20"/>
        <v>0.99630996309963094</v>
      </c>
      <c r="BF53">
        <v>0</v>
      </c>
      <c r="BG53" s="971"/>
      <c r="BK53" s="1240">
        <v>8.1481481481481502E-2</v>
      </c>
      <c r="BL53" s="1240">
        <v>0</v>
      </c>
    </row>
    <row r="54" spans="1:64" x14ac:dyDescent="0.2">
      <c r="A54" s="968" t="s">
        <v>48</v>
      </c>
      <c r="B54" s="969">
        <v>2439</v>
      </c>
      <c r="C54" s="970">
        <f>VLOOKUP($B54,AWPU!$B:$L,9,FALSE)</f>
        <v>256</v>
      </c>
      <c r="D54" s="970">
        <f>VLOOKUP(B54,AWPU!B:L,10,FALSE)+VLOOKUP('2015 Factor % to units'!B54,AWPU!B:L,11,FALSE)</f>
        <v>0</v>
      </c>
      <c r="E54" s="971">
        <v>8.6065573770491802E-2</v>
      </c>
      <c r="F54" s="971">
        <v>0</v>
      </c>
      <c r="G54" s="971">
        <f t="shared" si="12"/>
        <v>22.032786885245901</v>
      </c>
      <c r="H54" s="971">
        <f t="shared" si="12"/>
        <v>0</v>
      </c>
      <c r="K54" s="971">
        <v>2.34375E-2</v>
      </c>
      <c r="L54" s="971">
        <v>0</v>
      </c>
      <c r="M54" s="971">
        <v>2.34375E-2</v>
      </c>
      <c r="N54" s="971">
        <v>0</v>
      </c>
      <c r="O54" s="971">
        <v>2.34375E-2</v>
      </c>
      <c r="P54" s="971">
        <v>0</v>
      </c>
      <c r="Q54" s="971">
        <v>7.8125E-3</v>
      </c>
      <c r="R54" s="971">
        <v>0</v>
      </c>
      <c r="S54" s="971">
        <v>7.8125E-3</v>
      </c>
      <c r="T54" s="971">
        <v>0</v>
      </c>
      <c r="U54" s="971">
        <v>0</v>
      </c>
      <c r="V54" s="971">
        <v>0</v>
      </c>
      <c r="X54" s="971">
        <f t="shared" si="13"/>
        <v>6</v>
      </c>
      <c r="Y54" s="971">
        <f t="shared" si="13"/>
        <v>0</v>
      </c>
      <c r="Z54" s="971">
        <f t="shared" si="14"/>
        <v>6</v>
      </c>
      <c r="AA54" s="971">
        <f t="shared" si="14"/>
        <v>0</v>
      </c>
      <c r="AB54" s="971">
        <f t="shared" si="15"/>
        <v>6</v>
      </c>
      <c r="AC54" s="971">
        <f t="shared" si="15"/>
        <v>0</v>
      </c>
      <c r="AD54" s="971">
        <f t="shared" si="16"/>
        <v>2</v>
      </c>
      <c r="AE54" s="971">
        <f t="shared" si="16"/>
        <v>0</v>
      </c>
      <c r="AF54" s="971">
        <f t="shared" si="17"/>
        <v>2</v>
      </c>
      <c r="AG54" s="971">
        <f t="shared" si="17"/>
        <v>0</v>
      </c>
      <c r="AH54" s="971">
        <f t="shared" si="18"/>
        <v>0</v>
      </c>
      <c r="AI54" s="971">
        <f t="shared" si="18"/>
        <v>0</v>
      </c>
      <c r="AL54" s="971">
        <v>5.4216867469879498E-2</v>
      </c>
      <c r="AM54" s="971">
        <v>0</v>
      </c>
      <c r="AO54">
        <f t="shared" si="19"/>
        <v>13.879518072289152</v>
      </c>
      <c r="AP54">
        <f t="shared" si="19"/>
        <v>0</v>
      </c>
      <c r="AS54" s="972">
        <v>2.734375E-2</v>
      </c>
      <c r="AT54" s="972">
        <v>0</v>
      </c>
      <c r="AU54" s="972">
        <f t="shared" si="8"/>
        <v>-7.2656250000000006E-2</v>
      </c>
      <c r="AV54" s="987">
        <f t="shared" si="8"/>
        <v>-0.1</v>
      </c>
      <c r="AX54">
        <f t="shared" si="9"/>
        <v>0</v>
      </c>
      <c r="AY54">
        <f t="shared" si="9"/>
        <v>0</v>
      </c>
      <c r="BA54" s="971">
        <v>0</v>
      </c>
      <c r="BC54">
        <f t="shared" si="20"/>
        <v>0</v>
      </c>
      <c r="BF54">
        <v>0</v>
      </c>
      <c r="BG54" s="971"/>
      <c r="BK54" s="1240">
        <v>2.734375E-2</v>
      </c>
      <c r="BL54" s="1240">
        <v>0</v>
      </c>
    </row>
    <row r="55" spans="1:64" x14ac:dyDescent="0.2">
      <c r="A55" s="968" t="s">
        <v>49</v>
      </c>
      <c r="B55" s="969">
        <v>2440</v>
      </c>
      <c r="C55" s="970">
        <f>VLOOKUP($B55,AWPU!$B:$L,9,FALSE)</f>
        <v>326</v>
      </c>
      <c r="D55" s="970">
        <f>VLOOKUP(B55,AWPU!B:L,10,FALSE)+VLOOKUP('2015 Factor % to units'!B55,AWPU!B:L,11,FALSE)</f>
        <v>0</v>
      </c>
      <c r="E55" s="971">
        <v>0.10472972972972973</v>
      </c>
      <c r="F55" s="971">
        <v>0</v>
      </c>
      <c r="G55" s="971">
        <f t="shared" si="12"/>
        <v>34.141891891891895</v>
      </c>
      <c r="H55" s="971">
        <f t="shared" si="12"/>
        <v>0</v>
      </c>
      <c r="K55" s="971">
        <v>9.2024539877300603E-3</v>
      </c>
      <c r="L55" s="971">
        <v>0</v>
      </c>
      <c r="M55" s="971">
        <v>9.2024539877300603E-3</v>
      </c>
      <c r="N55" s="971">
        <v>0</v>
      </c>
      <c r="O55" s="971">
        <v>3.0674846625766899E-2</v>
      </c>
      <c r="P55" s="971">
        <v>0</v>
      </c>
      <c r="Q55" s="971">
        <v>9.2024539877300603E-3</v>
      </c>
      <c r="R55" s="971">
        <v>0</v>
      </c>
      <c r="S55" s="971">
        <v>3.0674846625766898E-3</v>
      </c>
      <c r="T55" s="971">
        <v>0</v>
      </c>
      <c r="U55" s="971">
        <v>0</v>
      </c>
      <c r="V55" s="971">
        <v>0</v>
      </c>
      <c r="X55" s="971">
        <f t="shared" si="13"/>
        <v>2.9999999999999996</v>
      </c>
      <c r="Y55" s="971">
        <f t="shared" si="13"/>
        <v>0</v>
      </c>
      <c r="Z55" s="971">
        <f t="shared" si="14"/>
        <v>2.9999999999999996</v>
      </c>
      <c r="AA55" s="971">
        <f t="shared" si="14"/>
        <v>0</v>
      </c>
      <c r="AB55" s="971">
        <f t="shared" si="15"/>
        <v>10.000000000000009</v>
      </c>
      <c r="AC55" s="971">
        <f t="shared" si="15"/>
        <v>0</v>
      </c>
      <c r="AD55" s="971">
        <f t="shared" si="16"/>
        <v>2.9999999999999996</v>
      </c>
      <c r="AE55" s="971">
        <f t="shared" si="16"/>
        <v>0</v>
      </c>
      <c r="AF55" s="971">
        <f t="shared" si="17"/>
        <v>1.0000000000000009</v>
      </c>
      <c r="AG55" s="971">
        <f t="shared" si="17"/>
        <v>0</v>
      </c>
      <c r="AH55" s="971">
        <f t="shared" si="18"/>
        <v>0</v>
      </c>
      <c r="AI55" s="971">
        <f t="shared" si="18"/>
        <v>0</v>
      </c>
      <c r="AL55" s="971">
        <v>3.0674846625766899E-2</v>
      </c>
      <c r="AM55" s="971">
        <v>0</v>
      </c>
      <c r="AO55">
        <f t="shared" si="19"/>
        <v>10.000000000000009</v>
      </c>
      <c r="AP55">
        <f t="shared" si="19"/>
        <v>0</v>
      </c>
      <c r="AS55" s="972">
        <v>3.9877300613496897E-2</v>
      </c>
      <c r="AT55" s="972">
        <v>0</v>
      </c>
      <c r="AU55" s="972">
        <f t="shared" si="8"/>
        <v>-6.0122699386503109E-2</v>
      </c>
      <c r="AV55" s="987">
        <f t="shared" si="8"/>
        <v>-0.1</v>
      </c>
      <c r="AX55">
        <f t="shared" si="9"/>
        <v>0</v>
      </c>
      <c r="AY55">
        <f t="shared" si="9"/>
        <v>0</v>
      </c>
      <c r="BA55" s="971">
        <v>0</v>
      </c>
      <c r="BC55">
        <f t="shared" si="20"/>
        <v>0</v>
      </c>
      <c r="BF55">
        <v>0</v>
      </c>
      <c r="BG55" s="971"/>
      <c r="BK55" s="1240">
        <v>3.9877300613496897E-2</v>
      </c>
      <c r="BL55" s="1240">
        <v>0</v>
      </c>
    </row>
    <row r="56" spans="1:64" x14ac:dyDescent="0.2">
      <c r="A56" s="968" t="s">
        <v>102</v>
      </c>
      <c r="B56" s="969">
        <v>2462</v>
      </c>
      <c r="C56" s="970">
        <f>VLOOKUP($B56,AWPU!$B:$L,9,FALSE)</f>
        <v>238</v>
      </c>
      <c r="D56" s="970">
        <f>VLOOKUP(B56,AWPU!B:L,10,FALSE)+VLOOKUP('2015 Factor % to units'!B56,AWPU!B:L,11,FALSE)</f>
        <v>0</v>
      </c>
      <c r="E56" s="971">
        <v>0.13063063063063063</v>
      </c>
      <c r="F56" s="971">
        <v>0</v>
      </c>
      <c r="G56" s="971">
        <f t="shared" si="12"/>
        <v>31.09009009009009</v>
      </c>
      <c r="H56" s="971">
        <f t="shared" si="12"/>
        <v>0</v>
      </c>
      <c r="K56" s="971">
        <v>3.37552742616034E-2</v>
      </c>
      <c r="L56" s="971">
        <v>0</v>
      </c>
      <c r="M56" s="971">
        <v>8.0168776371307995E-2</v>
      </c>
      <c r="N56" s="971">
        <v>0</v>
      </c>
      <c r="O56" s="971">
        <v>0.113924050632911</v>
      </c>
      <c r="P56" s="971">
        <v>0</v>
      </c>
      <c r="Q56" s="971">
        <v>3.7974683544303799E-2</v>
      </c>
      <c r="R56" s="971">
        <v>0</v>
      </c>
      <c r="S56" s="971">
        <v>1.26582278481013E-2</v>
      </c>
      <c r="T56" s="971">
        <v>0</v>
      </c>
      <c r="U56" s="971">
        <v>3.37552742616034E-2</v>
      </c>
      <c r="V56" s="971">
        <v>0</v>
      </c>
      <c r="X56" s="971">
        <f t="shared" si="13"/>
        <v>8.0337552742616101</v>
      </c>
      <c r="Y56" s="971">
        <f t="shared" si="13"/>
        <v>0</v>
      </c>
      <c r="Z56" s="971">
        <f t="shared" si="14"/>
        <v>19.080168776371302</v>
      </c>
      <c r="AA56" s="971">
        <f t="shared" si="14"/>
        <v>0</v>
      </c>
      <c r="AB56" s="971">
        <f t="shared" si="15"/>
        <v>27.113924050632818</v>
      </c>
      <c r="AC56" s="971">
        <f t="shared" si="15"/>
        <v>0</v>
      </c>
      <c r="AD56" s="971">
        <f t="shared" si="16"/>
        <v>9.037974683544304</v>
      </c>
      <c r="AE56" s="971">
        <f t="shared" si="16"/>
        <v>0</v>
      </c>
      <c r="AF56" s="971">
        <f t="shared" si="17"/>
        <v>3.0126582278481093</v>
      </c>
      <c r="AG56" s="971">
        <f t="shared" si="17"/>
        <v>0</v>
      </c>
      <c r="AH56" s="971">
        <f t="shared" si="18"/>
        <v>8.0337552742616101</v>
      </c>
      <c r="AI56" s="971">
        <f t="shared" si="18"/>
        <v>0</v>
      </c>
      <c r="AL56" s="971">
        <v>0.158940397350993</v>
      </c>
      <c r="AM56" s="971">
        <v>0</v>
      </c>
      <c r="AO56">
        <f t="shared" si="19"/>
        <v>37.827814569536336</v>
      </c>
      <c r="AP56">
        <f t="shared" si="19"/>
        <v>0</v>
      </c>
      <c r="AS56" s="972">
        <v>5.0420168067226899E-2</v>
      </c>
      <c r="AT56" s="972">
        <v>0</v>
      </c>
      <c r="AU56" s="972">
        <f t="shared" si="8"/>
        <v>-4.9579831932773107E-2</v>
      </c>
      <c r="AV56" s="987">
        <f t="shared" si="8"/>
        <v>-0.1</v>
      </c>
      <c r="AX56">
        <f t="shared" si="9"/>
        <v>0</v>
      </c>
      <c r="AY56">
        <f t="shared" si="9"/>
        <v>0</v>
      </c>
      <c r="BA56" s="971">
        <v>0</v>
      </c>
      <c r="BC56">
        <f t="shared" si="20"/>
        <v>0</v>
      </c>
      <c r="BF56">
        <v>0</v>
      </c>
      <c r="BG56" s="971"/>
      <c r="BK56" s="1240">
        <v>5.0420168067226899E-2</v>
      </c>
      <c r="BL56" s="1240">
        <v>0</v>
      </c>
    </row>
    <row r="57" spans="1:64" x14ac:dyDescent="0.2">
      <c r="A57" s="968" t="s">
        <v>50</v>
      </c>
      <c r="B57" s="969">
        <v>2463</v>
      </c>
      <c r="C57" s="970">
        <f>VLOOKUP($B57,AWPU!$B:$L,9,FALSE)</f>
        <v>336</v>
      </c>
      <c r="D57" s="970">
        <f>VLOOKUP(B57,AWPU!B:L,10,FALSE)+VLOOKUP('2015 Factor % to units'!B57,AWPU!B:L,11,FALSE)</f>
        <v>0</v>
      </c>
      <c r="E57" s="971">
        <v>0.21639344262295082</v>
      </c>
      <c r="F57" s="971">
        <v>0</v>
      </c>
      <c r="G57" s="971">
        <f t="shared" si="12"/>
        <v>72.708196721311481</v>
      </c>
      <c r="H57" s="971">
        <f t="shared" si="12"/>
        <v>0</v>
      </c>
      <c r="K57" s="971">
        <v>3.59281437125748E-2</v>
      </c>
      <c r="L57" s="971">
        <v>0</v>
      </c>
      <c r="M57" s="971">
        <v>6.2874251497005998E-2</v>
      </c>
      <c r="N57" s="971">
        <v>0</v>
      </c>
      <c r="O57" s="971">
        <v>9.2814371257484998E-2</v>
      </c>
      <c r="P57" s="971">
        <v>0</v>
      </c>
      <c r="Q57" s="971">
        <v>2.9940119760479E-2</v>
      </c>
      <c r="R57" s="971">
        <v>0</v>
      </c>
      <c r="S57" s="971">
        <v>1.49700598802395E-2</v>
      </c>
      <c r="T57" s="971">
        <v>0</v>
      </c>
      <c r="U57" s="971">
        <v>1.19760479041916E-2</v>
      </c>
      <c r="V57" s="971">
        <v>0</v>
      </c>
      <c r="X57" s="971">
        <f t="shared" si="13"/>
        <v>12.071856287425133</v>
      </c>
      <c r="Y57" s="971">
        <f t="shared" si="13"/>
        <v>0</v>
      </c>
      <c r="Z57" s="971">
        <f t="shared" si="14"/>
        <v>21.125748502994014</v>
      </c>
      <c r="AA57" s="971">
        <f t="shared" si="14"/>
        <v>0</v>
      </c>
      <c r="AB57" s="971">
        <f t="shared" si="15"/>
        <v>31.185628742514961</v>
      </c>
      <c r="AC57" s="971">
        <f t="shared" si="15"/>
        <v>0</v>
      </c>
      <c r="AD57" s="971">
        <f t="shared" si="16"/>
        <v>10.059880239520943</v>
      </c>
      <c r="AE57" s="971">
        <f t="shared" si="16"/>
        <v>0</v>
      </c>
      <c r="AF57" s="971">
        <f t="shared" si="17"/>
        <v>5.0299401197604716</v>
      </c>
      <c r="AG57" s="971">
        <f t="shared" si="17"/>
        <v>0</v>
      </c>
      <c r="AH57" s="971">
        <f t="shared" si="18"/>
        <v>4.0239520958083776</v>
      </c>
      <c r="AI57" s="971">
        <f t="shared" si="18"/>
        <v>0</v>
      </c>
      <c r="AL57" s="971">
        <v>7.8078078078078095E-2</v>
      </c>
      <c r="AM57" s="971">
        <v>0</v>
      </c>
      <c r="AO57">
        <f t="shared" si="19"/>
        <v>26.23423423423424</v>
      </c>
      <c r="AP57">
        <f t="shared" si="19"/>
        <v>0</v>
      </c>
      <c r="AS57" s="972">
        <v>7.1428571428571397E-2</v>
      </c>
      <c r="AT57" s="972">
        <v>0</v>
      </c>
      <c r="AU57" s="972">
        <f t="shared" si="8"/>
        <v>-2.8571428571428609E-2</v>
      </c>
      <c r="AV57" s="987">
        <f t="shared" si="8"/>
        <v>-0.1</v>
      </c>
      <c r="AX57">
        <f t="shared" si="9"/>
        <v>0</v>
      </c>
      <c r="AY57">
        <f t="shared" si="9"/>
        <v>0</v>
      </c>
      <c r="BA57" s="971">
        <v>0</v>
      </c>
      <c r="BC57">
        <f t="shared" si="20"/>
        <v>0</v>
      </c>
      <c r="BF57">
        <v>0</v>
      </c>
      <c r="BG57" s="971"/>
      <c r="BK57" s="1240">
        <v>7.1428571428571397E-2</v>
      </c>
      <c r="BL57" s="1240">
        <v>0</v>
      </c>
    </row>
    <row r="58" spans="1:64" x14ac:dyDescent="0.2">
      <c r="A58" s="968" t="s">
        <v>51</v>
      </c>
      <c r="B58" s="969">
        <v>2505</v>
      </c>
      <c r="C58" s="970">
        <f>VLOOKUP($B58,AWPU!$B:$L,9,FALSE)</f>
        <v>523</v>
      </c>
      <c r="D58" s="970">
        <f>VLOOKUP(B58,AWPU!B:L,10,FALSE)+VLOOKUP('2015 Factor % to units'!B58,AWPU!B:L,11,FALSE)</f>
        <v>0</v>
      </c>
      <c r="E58" s="971">
        <v>0.3934065934065934</v>
      </c>
      <c r="F58" s="971">
        <v>0</v>
      </c>
      <c r="G58" s="971">
        <f t="shared" si="12"/>
        <v>205.75164835164836</v>
      </c>
      <c r="H58" s="971">
        <f t="shared" si="12"/>
        <v>0</v>
      </c>
      <c r="K58" s="971">
        <v>0.214285714285714</v>
      </c>
      <c r="L58" s="971">
        <v>0</v>
      </c>
      <c r="M58" s="971">
        <v>1.9305019305019299E-3</v>
      </c>
      <c r="N58" s="971">
        <v>0</v>
      </c>
      <c r="O58" s="971">
        <v>0.34169884169884202</v>
      </c>
      <c r="P58" s="971">
        <v>0</v>
      </c>
      <c r="Q58" s="971">
        <v>0.17953667953668001</v>
      </c>
      <c r="R58" s="971">
        <v>0</v>
      </c>
      <c r="S58" s="971">
        <v>1.15830115830116E-2</v>
      </c>
      <c r="T58" s="971">
        <v>0</v>
      </c>
      <c r="U58" s="971">
        <v>0.16988416988416999</v>
      </c>
      <c r="V58" s="971">
        <v>0</v>
      </c>
      <c r="X58" s="971">
        <f t="shared" si="13"/>
        <v>112.07142857142841</v>
      </c>
      <c r="Y58" s="971">
        <f t="shared" si="13"/>
        <v>0</v>
      </c>
      <c r="Z58" s="971">
        <f t="shared" si="14"/>
        <v>1.0096525096525093</v>
      </c>
      <c r="AA58" s="971">
        <f t="shared" si="14"/>
        <v>0</v>
      </c>
      <c r="AB58" s="971">
        <f t="shared" si="15"/>
        <v>178.70849420849439</v>
      </c>
      <c r="AC58" s="971">
        <f t="shared" si="15"/>
        <v>0</v>
      </c>
      <c r="AD58" s="971">
        <f t="shared" si="16"/>
        <v>93.89768339768365</v>
      </c>
      <c r="AE58" s="971">
        <f t="shared" si="16"/>
        <v>0</v>
      </c>
      <c r="AF58" s="971">
        <f t="shared" si="17"/>
        <v>6.0579150579150669</v>
      </c>
      <c r="AG58" s="971">
        <f t="shared" si="17"/>
        <v>0</v>
      </c>
      <c r="AH58" s="971">
        <f t="shared" si="18"/>
        <v>88.849420849420909</v>
      </c>
      <c r="AI58" s="971">
        <f t="shared" si="18"/>
        <v>0</v>
      </c>
      <c r="AL58" s="971">
        <v>0.19534883720930199</v>
      </c>
      <c r="AM58" s="971">
        <v>0</v>
      </c>
      <c r="AO58">
        <f t="shared" si="19"/>
        <v>102.16744186046495</v>
      </c>
      <c r="AP58">
        <f t="shared" si="19"/>
        <v>0</v>
      </c>
      <c r="AS58" s="972">
        <v>0.105162523900574</v>
      </c>
      <c r="AT58" s="972">
        <v>0</v>
      </c>
      <c r="AU58" s="972">
        <f t="shared" si="8"/>
        <v>5.1625239005739926E-3</v>
      </c>
      <c r="AV58" s="987">
        <f t="shared" si="8"/>
        <v>-0.1</v>
      </c>
      <c r="AX58">
        <f t="shared" si="9"/>
        <v>2.7000000000001982</v>
      </c>
      <c r="AY58">
        <f t="shared" si="9"/>
        <v>0</v>
      </c>
      <c r="BA58" s="971">
        <v>0</v>
      </c>
      <c r="BC58">
        <f t="shared" si="20"/>
        <v>0</v>
      </c>
      <c r="BF58">
        <v>0</v>
      </c>
      <c r="BG58" s="971"/>
      <c r="BK58" s="1240">
        <v>0.105162523900574</v>
      </c>
      <c r="BL58" s="1240">
        <v>0</v>
      </c>
    </row>
    <row r="59" spans="1:64" x14ac:dyDescent="0.2">
      <c r="A59" s="968" t="s">
        <v>52</v>
      </c>
      <c r="B59" s="969">
        <v>2000</v>
      </c>
      <c r="C59" s="970">
        <f>VLOOKUP($B59,AWPU!$B:$L,9,FALSE)</f>
        <v>298</v>
      </c>
      <c r="D59" s="970">
        <f>VLOOKUP(B59,AWPU!B:L,10,FALSE)+VLOOKUP('2015 Factor % to units'!B59,AWPU!B:L,11,FALSE)</f>
        <v>0</v>
      </c>
      <c r="E59" s="971">
        <v>0.39413680781758959</v>
      </c>
      <c r="F59" s="971">
        <v>0</v>
      </c>
      <c r="G59" s="971">
        <f t="shared" si="12"/>
        <v>117.45276872964169</v>
      </c>
      <c r="H59" s="971">
        <f t="shared" si="12"/>
        <v>0</v>
      </c>
      <c r="K59" s="971">
        <v>0.296875</v>
      </c>
      <c r="L59" s="971">
        <v>0</v>
      </c>
      <c r="M59" s="971">
        <v>0.11562500000000001</v>
      </c>
      <c r="N59" s="971">
        <v>0</v>
      </c>
      <c r="O59" s="971">
        <v>0.46875</v>
      </c>
      <c r="P59" s="971">
        <v>0</v>
      </c>
      <c r="Q59" s="971">
        <v>2.5000000000000001E-2</v>
      </c>
      <c r="R59" s="971">
        <v>0</v>
      </c>
      <c r="S59" s="971">
        <v>2.5000000000000001E-2</v>
      </c>
      <c r="T59" s="971">
        <v>0</v>
      </c>
      <c r="U59" s="971">
        <v>9.3749999999999997E-3</v>
      </c>
      <c r="V59" s="971">
        <v>0</v>
      </c>
      <c r="X59" s="971">
        <f t="shared" si="13"/>
        <v>88.46875</v>
      </c>
      <c r="Y59" s="971">
        <f t="shared" si="13"/>
        <v>0</v>
      </c>
      <c r="Z59" s="971">
        <f t="shared" si="14"/>
        <v>34.456250000000004</v>
      </c>
      <c r="AA59" s="971">
        <f t="shared" si="14"/>
        <v>0</v>
      </c>
      <c r="AB59" s="971">
        <f t="shared" si="15"/>
        <v>139.6875</v>
      </c>
      <c r="AC59" s="971">
        <f t="shared" si="15"/>
        <v>0</v>
      </c>
      <c r="AD59" s="971">
        <f t="shared" si="16"/>
        <v>7.45</v>
      </c>
      <c r="AE59" s="971">
        <f t="shared" si="16"/>
        <v>0</v>
      </c>
      <c r="AF59" s="971">
        <f t="shared" si="17"/>
        <v>7.45</v>
      </c>
      <c r="AG59" s="971">
        <f t="shared" si="17"/>
        <v>0</v>
      </c>
      <c r="AH59" s="971">
        <f t="shared" si="18"/>
        <v>2.7937499999999997</v>
      </c>
      <c r="AI59" s="971">
        <f t="shared" si="18"/>
        <v>0</v>
      </c>
      <c r="AL59" s="971">
        <v>0.100371747211896</v>
      </c>
      <c r="AM59" s="971">
        <v>0</v>
      </c>
      <c r="AO59">
        <f t="shared" si="19"/>
        <v>29.910780669145009</v>
      </c>
      <c r="AP59">
        <f t="shared" si="19"/>
        <v>0</v>
      </c>
      <c r="AS59" s="972">
        <v>0.13190184049079801</v>
      </c>
      <c r="AT59" s="972">
        <v>0</v>
      </c>
      <c r="AU59" s="972">
        <f t="shared" si="8"/>
        <v>3.1901840490798E-2</v>
      </c>
      <c r="AV59" s="987">
        <f t="shared" si="8"/>
        <v>-0.1</v>
      </c>
      <c r="AX59">
        <f t="shared" si="9"/>
        <v>9.5067484662578039</v>
      </c>
      <c r="AY59">
        <f t="shared" si="9"/>
        <v>0</v>
      </c>
      <c r="BA59" s="971">
        <v>3.2573289902280132E-3</v>
      </c>
      <c r="BC59">
        <f t="shared" si="20"/>
        <v>0.97068403908794798</v>
      </c>
      <c r="BF59">
        <v>0</v>
      </c>
      <c r="BG59" s="971"/>
      <c r="BK59" s="1240">
        <v>0.13190184049079801</v>
      </c>
      <c r="BL59" s="1240">
        <v>0</v>
      </c>
    </row>
    <row r="60" spans="1:64" x14ac:dyDescent="0.2">
      <c r="A60" s="968" t="s">
        <v>53</v>
      </c>
      <c r="B60" s="969">
        <v>2458</v>
      </c>
      <c r="C60" s="970">
        <f>VLOOKUP($B60,AWPU!$B:$L,9,FALSE)</f>
        <v>270</v>
      </c>
      <c r="D60" s="970">
        <f>VLOOKUP(B60,AWPU!B:L,10,FALSE)+VLOOKUP('2015 Factor % to units'!B60,AWPU!B:L,11,FALSE)</f>
        <v>0</v>
      </c>
      <c r="E60" s="971">
        <v>0.12267657992565056</v>
      </c>
      <c r="F60" s="971">
        <v>0</v>
      </c>
      <c r="G60" s="971">
        <f t="shared" si="12"/>
        <v>33.122676579925653</v>
      </c>
      <c r="H60" s="971">
        <f t="shared" si="12"/>
        <v>0</v>
      </c>
      <c r="K60" s="971">
        <v>7.4074074074074098E-2</v>
      </c>
      <c r="L60" s="971">
        <v>0</v>
      </c>
      <c r="M60" s="971">
        <v>0</v>
      </c>
      <c r="N60" s="971">
        <v>0</v>
      </c>
      <c r="O60" s="971">
        <v>0.24444444444444399</v>
      </c>
      <c r="P60" s="971">
        <v>0</v>
      </c>
      <c r="Q60" s="971">
        <v>5.1851851851851899E-2</v>
      </c>
      <c r="R60" s="971">
        <v>0</v>
      </c>
      <c r="S60" s="971">
        <v>3.7037037037036999E-3</v>
      </c>
      <c r="T60" s="971">
        <v>0</v>
      </c>
      <c r="U60" s="971">
        <v>1.85185185185185E-2</v>
      </c>
      <c r="V60" s="971">
        <v>0</v>
      </c>
      <c r="X60" s="971">
        <f t="shared" si="13"/>
        <v>20.000000000000007</v>
      </c>
      <c r="Y60" s="971">
        <f t="shared" si="13"/>
        <v>0</v>
      </c>
      <c r="Z60" s="971">
        <f t="shared" si="14"/>
        <v>0</v>
      </c>
      <c r="AA60" s="971">
        <f t="shared" si="14"/>
        <v>0</v>
      </c>
      <c r="AB60" s="971">
        <f t="shared" si="15"/>
        <v>65.999999999999872</v>
      </c>
      <c r="AC60" s="971">
        <f t="shared" si="15"/>
        <v>0</v>
      </c>
      <c r="AD60" s="971">
        <f t="shared" si="16"/>
        <v>14.000000000000012</v>
      </c>
      <c r="AE60" s="971">
        <f t="shared" si="16"/>
        <v>0</v>
      </c>
      <c r="AF60" s="971">
        <f t="shared" si="17"/>
        <v>0.999999999999999</v>
      </c>
      <c r="AG60" s="971">
        <f t="shared" si="17"/>
        <v>0</v>
      </c>
      <c r="AH60" s="971">
        <f t="shared" si="18"/>
        <v>4.9999999999999947</v>
      </c>
      <c r="AI60" s="971">
        <f t="shared" si="18"/>
        <v>0</v>
      </c>
      <c r="AL60" s="971">
        <v>0.4</v>
      </c>
      <c r="AM60" s="971">
        <v>0</v>
      </c>
      <c r="AO60">
        <f t="shared" si="19"/>
        <v>108</v>
      </c>
      <c r="AP60">
        <f t="shared" si="19"/>
        <v>0</v>
      </c>
      <c r="AS60" s="972">
        <v>2.5925925925925901E-2</v>
      </c>
      <c r="AT60" s="972">
        <v>0</v>
      </c>
      <c r="AU60" s="972">
        <f t="shared" si="8"/>
        <v>-7.4074074074074098E-2</v>
      </c>
      <c r="AV60" s="987">
        <f t="shared" si="8"/>
        <v>-0.1</v>
      </c>
      <c r="AX60">
        <f t="shared" si="9"/>
        <v>0</v>
      </c>
      <c r="AY60">
        <f t="shared" si="9"/>
        <v>0</v>
      </c>
      <c r="BA60" s="971">
        <v>0</v>
      </c>
      <c r="BC60">
        <f t="shared" si="20"/>
        <v>0</v>
      </c>
      <c r="BF60">
        <v>0</v>
      </c>
      <c r="BG60" s="971"/>
      <c r="BK60" s="1240">
        <v>2.5925925925925901E-2</v>
      </c>
      <c r="BL60" s="1240">
        <v>0</v>
      </c>
    </row>
    <row r="61" spans="1:64" x14ac:dyDescent="0.2">
      <c r="A61" s="968" t="s">
        <v>54</v>
      </c>
      <c r="B61" s="969">
        <v>2001</v>
      </c>
      <c r="C61" s="970">
        <f>VLOOKUP($B61,AWPU!$B:$L,9,FALSE)</f>
        <v>353</v>
      </c>
      <c r="D61" s="970">
        <f>VLOOKUP(B61,AWPU!B:L,10,FALSE)+VLOOKUP('2015 Factor % to units'!B61,AWPU!B:L,11,FALSE)</f>
        <v>0</v>
      </c>
      <c r="E61" s="971">
        <v>0.60703812316715544</v>
      </c>
      <c r="F61" s="971">
        <v>0</v>
      </c>
      <c r="G61" s="971">
        <f t="shared" si="12"/>
        <v>214.28445747800586</v>
      </c>
      <c r="H61" s="971">
        <f t="shared" si="12"/>
        <v>0</v>
      </c>
      <c r="K61" s="971">
        <v>9.7982708933717605E-2</v>
      </c>
      <c r="L61" s="971">
        <v>0</v>
      </c>
      <c r="M61" s="971">
        <v>0.118155619596542</v>
      </c>
      <c r="N61" s="971">
        <v>0</v>
      </c>
      <c r="O61" s="971">
        <v>3.4582132564841501E-2</v>
      </c>
      <c r="P61" s="971">
        <v>0</v>
      </c>
      <c r="Q61" s="971">
        <v>5.7636887608069197E-2</v>
      </c>
      <c r="R61" s="971">
        <v>0</v>
      </c>
      <c r="S61" s="971">
        <v>0.57060518731988497</v>
      </c>
      <c r="T61" s="971">
        <v>0</v>
      </c>
      <c r="U61" s="971">
        <v>0</v>
      </c>
      <c r="V61" s="971">
        <v>0</v>
      </c>
      <c r="X61" s="971">
        <f t="shared" si="13"/>
        <v>34.587896253602317</v>
      </c>
      <c r="Y61" s="971">
        <f t="shared" si="13"/>
        <v>0</v>
      </c>
      <c r="Z61" s="971">
        <f t="shared" si="14"/>
        <v>41.708933717579328</v>
      </c>
      <c r="AA61" s="971">
        <f t="shared" si="14"/>
        <v>0</v>
      </c>
      <c r="AB61" s="971">
        <f t="shared" si="15"/>
        <v>12.207492795389051</v>
      </c>
      <c r="AC61" s="971">
        <f t="shared" si="15"/>
        <v>0</v>
      </c>
      <c r="AD61" s="971">
        <f t="shared" si="16"/>
        <v>20.345821325648426</v>
      </c>
      <c r="AE61" s="971">
        <f t="shared" si="16"/>
        <v>0</v>
      </c>
      <c r="AF61" s="971">
        <f t="shared" si="17"/>
        <v>201.42363112391939</v>
      </c>
      <c r="AG61" s="971">
        <f t="shared" si="17"/>
        <v>0</v>
      </c>
      <c r="AH61" s="971">
        <f t="shared" si="18"/>
        <v>0</v>
      </c>
      <c r="AI61" s="971">
        <f t="shared" si="18"/>
        <v>0</v>
      </c>
      <c r="AL61" s="971">
        <v>5.8419243986254303E-2</v>
      </c>
      <c r="AM61" s="971">
        <v>0</v>
      </c>
      <c r="AO61">
        <f t="shared" si="19"/>
        <v>20.621993127147768</v>
      </c>
      <c r="AP61">
        <f t="shared" si="19"/>
        <v>0</v>
      </c>
      <c r="AS61" s="972">
        <v>0.12747875354107599</v>
      </c>
      <c r="AT61" s="972">
        <v>0</v>
      </c>
      <c r="AU61" s="972">
        <f t="shared" si="8"/>
        <v>2.7478753541075984E-2</v>
      </c>
      <c r="AV61" s="987">
        <f t="shared" si="8"/>
        <v>-0.1</v>
      </c>
      <c r="AX61">
        <f t="shared" si="9"/>
        <v>9.6999999999998217</v>
      </c>
      <c r="AY61">
        <f t="shared" si="9"/>
        <v>0</v>
      </c>
      <c r="BA61" s="971">
        <v>8.7976539589442824E-3</v>
      </c>
      <c r="BC61">
        <f t="shared" si="20"/>
        <v>3.1055718475073317</v>
      </c>
      <c r="BF61">
        <v>0</v>
      </c>
      <c r="BG61" s="971"/>
      <c r="BK61" s="1240">
        <v>0.12747875354107599</v>
      </c>
      <c r="BL61" s="1240">
        <v>0</v>
      </c>
    </row>
    <row r="62" spans="1:64" x14ac:dyDescent="0.2">
      <c r="A62" s="968" t="s">
        <v>55</v>
      </c>
      <c r="B62" s="969">
        <v>2429</v>
      </c>
      <c r="C62" s="970">
        <f>VLOOKUP($B62,AWPU!$B:$L,9,FALSE)</f>
        <v>150</v>
      </c>
      <c r="D62" s="970">
        <f>VLOOKUP(B62,AWPU!B:L,10,FALSE)+VLOOKUP('2015 Factor % to units'!B62,AWPU!B:L,11,FALSE)</f>
        <v>0</v>
      </c>
      <c r="E62" s="971">
        <v>0.33112582781456956</v>
      </c>
      <c r="F62" s="971">
        <v>0</v>
      </c>
      <c r="G62" s="971">
        <f t="shared" si="12"/>
        <v>49.668874172185433</v>
      </c>
      <c r="H62" s="971">
        <f t="shared" si="12"/>
        <v>0</v>
      </c>
      <c r="K62" s="971">
        <v>0</v>
      </c>
      <c r="L62" s="971">
        <v>0</v>
      </c>
      <c r="M62" s="971">
        <v>2.01342281879195E-2</v>
      </c>
      <c r="N62" s="971">
        <v>0</v>
      </c>
      <c r="O62" s="971">
        <v>0.20134228187919501</v>
      </c>
      <c r="P62" s="971">
        <v>0</v>
      </c>
      <c r="Q62" s="971">
        <v>0.58389261744966403</v>
      </c>
      <c r="R62" s="971">
        <v>0</v>
      </c>
      <c r="S62" s="971">
        <v>4.0268456375838903E-2</v>
      </c>
      <c r="T62" s="971">
        <v>0</v>
      </c>
      <c r="U62" s="971">
        <v>0.12751677852349</v>
      </c>
      <c r="V62" s="971">
        <v>0</v>
      </c>
      <c r="X62" s="971">
        <f t="shared" si="13"/>
        <v>0</v>
      </c>
      <c r="Y62" s="971">
        <f t="shared" si="13"/>
        <v>0</v>
      </c>
      <c r="Z62" s="971">
        <f t="shared" si="14"/>
        <v>3.0201342281879251</v>
      </c>
      <c r="AA62" s="971">
        <f t="shared" si="14"/>
        <v>0</v>
      </c>
      <c r="AB62" s="971">
        <f t="shared" si="15"/>
        <v>30.201342281879249</v>
      </c>
      <c r="AC62" s="971">
        <f t="shared" si="15"/>
        <v>0</v>
      </c>
      <c r="AD62" s="971">
        <f t="shared" si="16"/>
        <v>87.583892617449607</v>
      </c>
      <c r="AE62" s="971">
        <f t="shared" si="16"/>
        <v>0</v>
      </c>
      <c r="AF62" s="971">
        <f t="shared" si="17"/>
        <v>6.0402684563758351</v>
      </c>
      <c r="AG62" s="971">
        <f t="shared" si="17"/>
        <v>0</v>
      </c>
      <c r="AH62" s="971">
        <f t="shared" si="18"/>
        <v>19.1275167785235</v>
      </c>
      <c r="AI62" s="971">
        <f t="shared" si="18"/>
        <v>0</v>
      </c>
      <c r="AL62" s="971">
        <v>0.65625</v>
      </c>
      <c r="AM62" s="971">
        <v>0</v>
      </c>
      <c r="AO62">
        <f t="shared" si="19"/>
        <v>98.4375</v>
      </c>
      <c r="AP62">
        <f t="shared" si="19"/>
        <v>0</v>
      </c>
      <c r="AS62" s="972">
        <v>0.02</v>
      </c>
      <c r="AT62" s="972">
        <v>0</v>
      </c>
      <c r="AU62" s="972">
        <f t="shared" si="8"/>
        <v>-0.08</v>
      </c>
      <c r="AV62" s="987">
        <f t="shared" si="8"/>
        <v>-0.1</v>
      </c>
      <c r="AX62">
        <f t="shared" si="9"/>
        <v>0</v>
      </c>
      <c r="AY62">
        <f t="shared" si="9"/>
        <v>0</v>
      </c>
      <c r="BA62" s="971">
        <v>1.3245033112582781E-2</v>
      </c>
      <c r="BC62">
        <f t="shared" si="20"/>
        <v>1.9867549668874172</v>
      </c>
      <c r="BF62">
        <v>0</v>
      </c>
      <c r="BG62" s="971"/>
      <c r="BK62" s="1240">
        <v>0.02</v>
      </c>
      <c r="BL62" s="1240">
        <v>0</v>
      </c>
    </row>
    <row r="63" spans="1:64" x14ac:dyDescent="0.2">
      <c r="A63" s="990" t="s">
        <v>72</v>
      </c>
      <c r="B63" s="991">
        <v>4607</v>
      </c>
      <c r="C63" s="970">
        <f>VLOOKUP($B63,AWPU!$B:$L,9,FALSE)</f>
        <v>0</v>
      </c>
      <c r="D63" s="970">
        <f>VLOOKUP(B63,AWPU!B:L,10,FALSE)+VLOOKUP('2015 Factor % to units'!B63,AWPU!B:L,11,FALSE)</f>
        <v>1143</v>
      </c>
      <c r="E63" s="971">
        <v>0</v>
      </c>
      <c r="F63" s="971">
        <v>0.32475332475332475</v>
      </c>
      <c r="G63" s="971">
        <f t="shared" si="12"/>
        <v>0</v>
      </c>
      <c r="H63" s="971">
        <f t="shared" si="12"/>
        <v>371.19305019305017</v>
      </c>
      <c r="K63" s="971">
        <v>0</v>
      </c>
      <c r="L63" s="971">
        <v>4.48275862068966E-2</v>
      </c>
      <c r="M63" s="971">
        <v>0</v>
      </c>
      <c r="N63" s="971">
        <v>0.104310344827586</v>
      </c>
      <c r="O63" s="971">
        <v>0</v>
      </c>
      <c r="P63" s="971">
        <v>0.19224137931034499</v>
      </c>
      <c r="Q63" s="971">
        <v>0</v>
      </c>
      <c r="R63" s="971">
        <v>0.14051724137930999</v>
      </c>
      <c r="S63" s="971">
        <v>0</v>
      </c>
      <c r="T63" s="971">
        <v>8.36206896551724E-2</v>
      </c>
      <c r="U63" s="971">
        <v>0</v>
      </c>
      <c r="V63" s="971">
        <v>0.12241379310344799</v>
      </c>
      <c r="X63" s="971">
        <f t="shared" si="13"/>
        <v>0</v>
      </c>
      <c r="Y63" s="971">
        <f t="shared" si="13"/>
        <v>51.237931034482813</v>
      </c>
      <c r="Z63" s="971">
        <f t="shared" si="14"/>
        <v>0</v>
      </c>
      <c r="AA63" s="971">
        <f t="shared" si="14"/>
        <v>119.2267241379308</v>
      </c>
      <c r="AB63" s="971">
        <f t="shared" si="15"/>
        <v>0</v>
      </c>
      <c r="AC63" s="971">
        <f t="shared" si="15"/>
        <v>219.73189655172433</v>
      </c>
      <c r="AD63" s="971">
        <f t="shared" si="16"/>
        <v>0</v>
      </c>
      <c r="AE63" s="971">
        <f t="shared" si="16"/>
        <v>160.61120689655132</v>
      </c>
      <c r="AF63" s="971">
        <f t="shared" si="17"/>
        <v>0</v>
      </c>
      <c r="AG63" s="971">
        <f t="shared" si="17"/>
        <v>95.578448275862058</v>
      </c>
      <c r="AH63" s="971">
        <f t="shared" si="18"/>
        <v>0</v>
      </c>
      <c r="AI63" s="971">
        <f t="shared" si="18"/>
        <v>139.91896551724105</v>
      </c>
      <c r="AL63" s="971">
        <v>0</v>
      </c>
      <c r="AM63" s="971">
        <v>4.0343347639485001E-2</v>
      </c>
      <c r="AO63">
        <f t="shared" si="19"/>
        <v>0</v>
      </c>
      <c r="AP63">
        <f t="shared" si="19"/>
        <v>46.112446351931354</v>
      </c>
      <c r="AS63" s="972">
        <v>0</v>
      </c>
      <c r="AT63" s="972">
        <v>6.1802575107296101E-2</v>
      </c>
      <c r="AU63" s="972">
        <f t="shared" si="8"/>
        <v>-0.1</v>
      </c>
      <c r="AV63" s="987">
        <f t="shared" si="8"/>
        <v>-3.8197424892703905E-2</v>
      </c>
      <c r="AX63">
        <f t="shared" si="9"/>
        <v>0</v>
      </c>
      <c r="AY63">
        <f t="shared" si="9"/>
        <v>0</v>
      </c>
      <c r="BA63" s="971">
        <v>1.7152658662092624E-3</v>
      </c>
      <c r="BC63">
        <f>BA63*D63</f>
        <v>1.9605488850771868</v>
      </c>
      <c r="BF63">
        <v>0.29622266401590502</v>
      </c>
      <c r="BG63" s="971">
        <f>BF63*D63</f>
        <v>338.58250497017946</v>
      </c>
      <c r="BK63" s="1240">
        <v>0</v>
      </c>
      <c r="BL63" s="1240">
        <v>6.1802575107296101E-2</v>
      </c>
    </row>
    <row r="64" spans="1:64" x14ac:dyDescent="0.2">
      <c r="A64" s="968" t="s">
        <v>56</v>
      </c>
      <c r="B64" s="969">
        <v>2444</v>
      </c>
      <c r="C64" s="970">
        <f>VLOOKUP($B64,AWPU!$B:$L,9,FALSE)</f>
        <v>208</v>
      </c>
      <c r="D64" s="970">
        <f>VLOOKUP(B64,AWPU!B:L,10,FALSE)+VLOOKUP('2015 Factor % to units'!B64,AWPU!B:L,11,FALSE)</f>
        <v>0</v>
      </c>
      <c r="E64" s="971">
        <v>0.27053140096618356</v>
      </c>
      <c r="F64" s="971">
        <v>0</v>
      </c>
      <c r="G64" s="971">
        <f t="shared" si="12"/>
        <v>56.270531400966178</v>
      </c>
      <c r="H64" s="971">
        <f t="shared" si="12"/>
        <v>0</v>
      </c>
      <c r="K64" s="971">
        <v>0.120772946859903</v>
      </c>
      <c r="L64" s="971">
        <v>0</v>
      </c>
      <c r="M64" s="971">
        <v>0.25120772946859898</v>
      </c>
      <c r="N64" s="971">
        <v>0</v>
      </c>
      <c r="O64" s="971">
        <v>2.8985507246376802E-2</v>
      </c>
      <c r="P64" s="971">
        <v>0</v>
      </c>
      <c r="Q64" s="971">
        <v>0.23671497584541101</v>
      </c>
      <c r="R64" s="971">
        <v>0</v>
      </c>
      <c r="S64" s="971">
        <v>6.7632850241545903E-2</v>
      </c>
      <c r="T64" s="971">
        <v>0</v>
      </c>
      <c r="U64" s="971">
        <v>7.7294685990338202E-2</v>
      </c>
      <c r="V64" s="971">
        <v>0</v>
      </c>
      <c r="X64" s="971">
        <f t="shared" si="13"/>
        <v>25.120772946859823</v>
      </c>
      <c r="Y64" s="971">
        <f t="shared" si="13"/>
        <v>0</v>
      </c>
      <c r="Z64" s="971">
        <f t="shared" si="14"/>
        <v>52.251207729468589</v>
      </c>
      <c r="AA64" s="971">
        <f t="shared" si="14"/>
        <v>0</v>
      </c>
      <c r="AB64" s="971">
        <f t="shared" si="15"/>
        <v>6.0289855072463752</v>
      </c>
      <c r="AC64" s="971">
        <f t="shared" si="15"/>
        <v>0</v>
      </c>
      <c r="AD64" s="971">
        <f t="shared" si="16"/>
        <v>49.236714975845487</v>
      </c>
      <c r="AE64" s="971">
        <f t="shared" si="16"/>
        <v>0</v>
      </c>
      <c r="AF64" s="971">
        <f t="shared" si="17"/>
        <v>14.067632850241548</v>
      </c>
      <c r="AG64" s="971">
        <f t="shared" si="17"/>
        <v>0</v>
      </c>
      <c r="AH64" s="971">
        <f t="shared" si="18"/>
        <v>16.077294685990346</v>
      </c>
      <c r="AI64" s="971">
        <f t="shared" si="18"/>
        <v>0</v>
      </c>
      <c r="AL64" s="971">
        <v>0.16666666666666699</v>
      </c>
      <c r="AM64" s="971">
        <v>0</v>
      </c>
      <c r="AO64">
        <f t="shared" si="19"/>
        <v>34.666666666666735</v>
      </c>
      <c r="AP64">
        <f t="shared" si="19"/>
        <v>0</v>
      </c>
      <c r="AS64" s="972">
        <v>2.4038461538461502E-2</v>
      </c>
      <c r="AT64" s="972">
        <v>0</v>
      </c>
      <c r="AU64" s="972">
        <f t="shared" si="8"/>
        <v>-7.5961538461538497E-2</v>
      </c>
      <c r="AV64" s="987">
        <f t="shared" si="8"/>
        <v>-0.1</v>
      </c>
      <c r="AX64">
        <f t="shared" si="9"/>
        <v>0</v>
      </c>
      <c r="AY64">
        <f t="shared" si="9"/>
        <v>0</v>
      </c>
      <c r="BA64" s="971">
        <v>0</v>
      </c>
      <c r="BC64">
        <f>BA64*C64</f>
        <v>0</v>
      </c>
      <c r="BF64">
        <v>0</v>
      </c>
      <c r="BG64" s="971"/>
      <c r="BK64" s="1240">
        <v>2.4038461538461502E-2</v>
      </c>
      <c r="BL64" s="1240">
        <v>0</v>
      </c>
    </row>
    <row r="65" spans="1:64" x14ac:dyDescent="0.2">
      <c r="A65" s="968" t="s">
        <v>57</v>
      </c>
      <c r="B65" s="969">
        <v>5209</v>
      </c>
      <c r="C65" s="970">
        <f>VLOOKUP($B65,AWPU!$B:$L,9,FALSE)</f>
        <v>274</v>
      </c>
      <c r="D65" s="970">
        <f>VLOOKUP(B65,AWPU!B:L,10,FALSE)+VLOOKUP('2015 Factor % to units'!B65,AWPU!B:L,11,FALSE)</f>
        <v>0</v>
      </c>
      <c r="E65" s="971">
        <v>0.40601503759398494</v>
      </c>
      <c r="F65" s="971">
        <v>0</v>
      </c>
      <c r="G65" s="971">
        <f t="shared" si="12"/>
        <v>111.24812030075188</v>
      </c>
      <c r="H65" s="971">
        <f t="shared" si="12"/>
        <v>0</v>
      </c>
      <c r="K65" s="971">
        <v>0.150735294117647</v>
      </c>
      <c r="L65" s="971">
        <v>0</v>
      </c>
      <c r="M65" s="971">
        <v>0.23161764705882401</v>
      </c>
      <c r="N65" s="971">
        <v>0</v>
      </c>
      <c r="O65" s="971">
        <v>3.6764705882352901E-2</v>
      </c>
      <c r="P65" s="971">
        <v>0</v>
      </c>
      <c r="Q65" s="971">
        <v>0.253676470588235</v>
      </c>
      <c r="R65" s="971">
        <v>0</v>
      </c>
      <c r="S65" s="971">
        <v>6.25E-2</v>
      </c>
      <c r="T65" s="971">
        <v>0</v>
      </c>
      <c r="U65" s="971">
        <v>7.7205882352941194E-2</v>
      </c>
      <c r="V65" s="971">
        <v>0</v>
      </c>
      <c r="X65" s="971">
        <f t="shared" si="13"/>
        <v>41.301470588235276</v>
      </c>
      <c r="Y65" s="971">
        <f t="shared" si="13"/>
        <v>0</v>
      </c>
      <c r="Z65" s="971">
        <f t="shared" si="14"/>
        <v>63.46323529411778</v>
      </c>
      <c r="AA65" s="971">
        <f t="shared" si="14"/>
        <v>0</v>
      </c>
      <c r="AB65" s="971">
        <f t="shared" si="15"/>
        <v>10.073529411764694</v>
      </c>
      <c r="AC65" s="971">
        <f t="shared" si="15"/>
        <v>0</v>
      </c>
      <c r="AD65" s="971">
        <f t="shared" si="16"/>
        <v>69.507352941176393</v>
      </c>
      <c r="AE65" s="971">
        <f t="shared" si="16"/>
        <v>0</v>
      </c>
      <c r="AF65" s="971">
        <f t="shared" si="17"/>
        <v>17.125</v>
      </c>
      <c r="AG65" s="971">
        <f t="shared" si="17"/>
        <v>0</v>
      </c>
      <c r="AH65" s="971">
        <f t="shared" si="18"/>
        <v>21.154411764705888</v>
      </c>
      <c r="AI65" s="971">
        <f t="shared" si="18"/>
        <v>0</v>
      </c>
      <c r="AL65" s="971">
        <v>4.4280442804428E-2</v>
      </c>
      <c r="AM65" s="971">
        <v>0</v>
      </c>
      <c r="AO65">
        <f t="shared" si="19"/>
        <v>12.132841328413273</v>
      </c>
      <c r="AP65">
        <f t="shared" si="19"/>
        <v>0</v>
      </c>
      <c r="AS65" s="972">
        <v>7.2992700729927001E-2</v>
      </c>
      <c r="AT65" s="972">
        <v>0</v>
      </c>
      <c r="AU65" s="972">
        <f t="shared" si="8"/>
        <v>-2.7007299270073004E-2</v>
      </c>
      <c r="AV65" s="987">
        <f t="shared" si="8"/>
        <v>-0.1</v>
      </c>
      <c r="AX65">
        <f t="shared" si="9"/>
        <v>0</v>
      </c>
      <c r="AY65">
        <f t="shared" si="9"/>
        <v>0</v>
      </c>
      <c r="BA65" s="971">
        <v>0</v>
      </c>
      <c r="BC65">
        <f>BA65*C65</f>
        <v>0</v>
      </c>
      <c r="BF65">
        <v>0</v>
      </c>
      <c r="BG65" s="971"/>
      <c r="BK65" s="1240">
        <v>7.2992700729927001E-2</v>
      </c>
      <c r="BL65" s="1240">
        <v>0</v>
      </c>
    </row>
    <row r="66" spans="1:64" x14ac:dyDescent="0.2">
      <c r="A66" s="968" t="s">
        <v>58</v>
      </c>
      <c r="B66" s="969">
        <v>2469</v>
      </c>
      <c r="C66" s="970">
        <f>VLOOKUP($B66,AWPU!$B:$L,9,FALSE)</f>
        <v>411</v>
      </c>
      <c r="D66" s="970">
        <f>VLOOKUP(B66,AWPU!B:L,10,FALSE)+VLOOKUP('2015 Factor % to units'!B66,AWPU!B:L,11,FALSE)</f>
        <v>0</v>
      </c>
      <c r="E66" s="971">
        <v>0.15903614457831325</v>
      </c>
      <c r="F66" s="971">
        <v>0</v>
      </c>
      <c r="G66" s="971">
        <f t="shared" ref="G66:H85" si="21">E66*C66</f>
        <v>65.36385542168675</v>
      </c>
      <c r="H66" s="971">
        <f t="shared" si="21"/>
        <v>0</v>
      </c>
      <c r="K66" s="971">
        <v>4.1666666666666699E-2</v>
      </c>
      <c r="L66" s="971">
        <v>0</v>
      </c>
      <c r="M66" s="971">
        <v>2.2058823529411801E-2</v>
      </c>
      <c r="N66" s="971">
        <v>0</v>
      </c>
      <c r="O66" s="971">
        <v>5.8823529411764698E-2</v>
      </c>
      <c r="P66" s="971">
        <v>0</v>
      </c>
      <c r="Q66" s="971">
        <v>1.7156862745097999E-2</v>
      </c>
      <c r="R66" s="971">
        <v>0</v>
      </c>
      <c r="S66" s="971">
        <v>1.7156862745097999E-2</v>
      </c>
      <c r="T66" s="971">
        <v>0</v>
      </c>
      <c r="U66" s="971">
        <v>2.4509803921568601E-3</v>
      </c>
      <c r="V66" s="971">
        <v>0</v>
      </c>
      <c r="X66" s="971">
        <f t="shared" ref="X66:Y85" si="22">K66*C66</f>
        <v>17.125000000000014</v>
      </c>
      <c r="Y66" s="971">
        <f t="shared" si="22"/>
        <v>0</v>
      </c>
      <c r="Z66" s="971">
        <f t="shared" ref="Z66:AA85" si="23">M66*C66</f>
        <v>9.0661764705882497</v>
      </c>
      <c r="AA66" s="971">
        <f t="shared" si="23"/>
        <v>0</v>
      </c>
      <c r="AB66" s="971">
        <f t="shared" ref="AB66:AC85" si="24">O66*C66</f>
        <v>24.17647058823529</v>
      </c>
      <c r="AC66" s="971">
        <f t="shared" si="24"/>
        <v>0</v>
      </c>
      <c r="AD66" s="971">
        <f t="shared" ref="AD66:AE85" si="25">Q66*C66</f>
        <v>7.0514705882352775</v>
      </c>
      <c r="AE66" s="971">
        <f t="shared" si="25"/>
        <v>0</v>
      </c>
      <c r="AF66" s="971">
        <f t="shared" ref="AF66:AG85" si="26">S66*C66</f>
        <v>7.0514705882352775</v>
      </c>
      <c r="AG66" s="971">
        <f t="shared" si="26"/>
        <v>0</v>
      </c>
      <c r="AH66" s="971">
        <f t="shared" ref="AH66:AI85" si="27">U66*C66</f>
        <v>1.0073529411764695</v>
      </c>
      <c r="AI66" s="971">
        <f t="shared" si="27"/>
        <v>0</v>
      </c>
      <c r="AL66" s="971">
        <v>9.6866096866096901E-2</v>
      </c>
      <c r="AM66" s="971">
        <v>0</v>
      </c>
      <c r="AO66">
        <f t="shared" ref="AO66:AP85" si="28">AL66*C66</f>
        <v>39.811965811965827</v>
      </c>
      <c r="AP66">
        <f t="shared" si="28"/>
        <v>0</v>
      </c>
      <c r="AS66" s="972">
        <v>7.7858880778588796E-2</v>
      </c>
      <c r="AT66" s="972">
        <v>0</v>
      </c>
      <c r="AU66" s="972">
        <f t="shared" si="8"/>
        <v>-2.214111922141121E-2</v>
      </c>
      <c r="AV66" s="987">
        <f t="shared" si="8"/>
        <v>-0.1</v>
      </c>
      <c r="AX66">
        <f t="shared" si="9"/>
        <v>0</v>
      </c>
      <c r="AY66">
        <f t="shared" si="9"/>
        <v>0</v>
      </c>
      <c r="BA66" s="971">
        <v>0</v>
      </c>
      <c r="BC66">
        <f>BA66*C66</f>
        <v>0</v>
      </c>
      <c r="BF66">
        <v>0</v>
      </c>
      <c r="BG66" s="971"/>
      <c r="BK66" s="1240">
        <v>7.7858880778588796E-2</v>
      </c>
      <c r="BL66" s="1240">
        <v>0</v>
      </c>
    </row>
    <row r="67" spans="1:64" x14ac:dyDescent="0.2">
      <c r="A67" s="968" t="s">
        <v>1031</v>
      </c>
      <c r="B67" s="28">
        <v>4002</v>
      </c>
      <c r="C67" s="970">
        <f>VLOOKUP($B67,AWPU!$B:$L,9,FALSE)</f>
        <v>0</v>
      </c>
      <c r="D67" s="970">
        <f>VLOOKUP(B67,AWPU!B:L,10,FALSE)+VLOOKUP('2015 Factor % to units'!B67,AWPU!B:L,11,FALSE)</f>
        <v>778</v>
      </c>
      <c r="E67" s="971">
        <v>0</v>
      </c>
      <c r="F67" s="971">
        <v>0.50661375661375663</v>
      </c>
      <c r="G67" s="971">
        <f t="shared" si="21"/>
        <v>0</v>
      </c>
      <c r="H67" s="971">
        <f t="shared" si="21"/>
        <v>394.14550264550263</v>
      </c>
      <c r="K67" s="971">
        <v>0</v>
      </c>
      <c r="L67" s="971">
        <v>8.8082901554404097E-2</v>
      </c>
      <c r="M67" s="971">
        <v>0</v>
      </c>
      <c r="N67" s="971">
        <v>2.2020725388601E-2</v>
      </c>
      <c r="O67" s="971">
        <v>0</v>
      </c>
      <c r="P67" s="971">
        <v>0.29404145077720201</v>
      </c>
      <c r="Q67" s="971">
        <v>0</v>
      </c>
      <c r="R67" s="971">
        <v>0.20725388601036299</v>
      </c>
      <c r="S67" s="971">
        <v>0</v>
      </c>
      <c r="T67" s="971">
        <v>4.1450777202072499E-2</v>
      </c>
      <c r="U67" s="971">
        <v>0</v>
      </c>
      <c r="V67" s="971">
        <v>0.12823834196891201</v>
      </c>
      <c r="X67" s="971">
        <f t="shared" si="22"/>
        <v>0</v>
      </c>
      <c r="Y67" s="971">
        <f t="shared" si="22"/>
        <v>68.528497409326391</v>
      </c>
      <c r="Z67" s="971">
        <f t="shared" si="23"/>
        <v>0</v>
      </c>
      <c r="AA67" s="971">
        <f t="shared" si="23"/>
        <v>17.132124352331576</v>
      </c>
      <c r="AB67" s="971">
        <f t="shared" si="24"/>
        <v>0</v>
      </c>
      <c r="AC67" s="971">
        <f t="shared" si="24"/>
        <v>228.76424870466317</v>
      </c>
      <c r="AD67" s="971">
        <f t="shared" si="25"/>
        <v>0</v>
      </c>
      <c r="AE67" s="971">
        <f t="shared" si="25"/>
        <v>161.24352331606241</v>
      </c>
      <c r="AF67" s="971">
        <f t="shared" si="26"/>
        <v>0</v>
      </c>
      <c r="AG67" s="971">
        <f t="shared" si="26"/>
        <v>32.248704663212401</v>
      </c>
      <c r="AH67" s="971">
        <f t="shared" si="27"/>
        <v>0</v>
      </c>
      <c r="AI67" s="971">
        <f t="shared" si="27"/>
        <v>99.769430051813544</v>
      </c>
      <c r="AL67" s="971">
        <v>0</v>
      </c>
      <c r="AM67" s="971">
        <v>0.101542416452442</v>
      </c>
      <c r="AO67">
        <f t="shared" si="28"/>
        <v>0</v>
      </c>
      <c r="AP67">
        <f t="shared" si="28"/>
        <v>78.999999999999872</v>
      </c>
      <c r="AS67" s="972">
        <v>0</v>
      </c>
      <c r="AT67" s="972">
        <v>0.61568123393316199</v>
      </c>
      <c r="AU67" s="972">
        <f t="shared" ref="AU67:AV85" si="29">AS67-10%</f>
        <v>-0.1</v>
      </c>
      <c r="AV67" s="987">
        <f t="shared" si="29"/>
        <v>0.51568123393316201</v>
      </c>
      <c r="AX67">
        <f t="shared" ref="AX67:AY85" si="30">IF(AU67&gt;0,AU67*C67,0)</f>
        <v>0</v>
      </c>
      <c r="AY67">
        <f t="shared" si="30"/>
        <v>401.20000000000005</v>
      </c>
      <c r="BA67" s="971">
        <v>3.968253968253968E-3</v>
      </c>
      <c r="BC67">
        <f>BA67*D67</f>
        <v>3.087301587301587</v>
      </c>
      <c r="BF67">
        <v>0.46141215106732297</v>
      </c>
      <c r="BG67" s="971">
        <f>BF67*D67</f>
        <v>358.9786535303773</v>
      </c>
      <c r="BK67" s="1240">
        <v>0</v>
      </c>
      <c r="BL67" s="1241">
        <v>0</v>
      </c>
    </row>
    <row r="68" spans="1:64" x14ac:dyDescent="0.2">
      <c r="A68" s="968" t="s">
        <v>1032</v>
      </c>
      <c r="B68" s="969">
        <v>2430</v>
      </c>
      <c r="C68" s="970">
        <f>VLOOKUP($B68,AWPU!$B:$L,9,FALSE)</f>
        <v>120</v>
      </c>
      <c r="D68" s="970">
        <f>VLOOKUP(B68,AWPU!B:L,10,FALSE)+VLOOKUP('2015 Factor % to units'!B68,AWPU!B:L,11,FALSE)</f>
        <v>0</v>
      </c>
      <c r="E68" s="971">
        <v>0.5950413223140496</v>
      </c>
      <c r="F68" s="971">
        <v>0</v>
      </c>
      <c r="G68" s="971">
        <f t="shared" si="21"/>
        <v>71.404958677685954</v>
      </c>
      <c r="H68" s="971">
        <f t="shared" si="21"/>
        <v>0</v>
      </c>
      <c r="K68" s="971">
        <v>3.3333333333333298E-2</v>
      </c>
      <c r="L68" s="971">
        <v>0</v>
      </c>
      <c r="M68" s="971">
        <v>0</v>
      </c>
      <c r="N68" s="971">
        <v>0</v>
      </c>
      <c r="O68" s="971">
        <v>0.358333333333333</v>
      </c>
      <c r="P68" s="971">
        <v>0</v>
      </c>
      <c r="Q68" s="971">
        <v>4.1666666666666699E-2</v>
      </c>
      <c r="R68" s="971">
        <v>0</v>
      </c>
      <c r="S68" s="971">
        <v>0</v>
      </c>
      <c r="T68" s="971">
        <v>0</v>
      </c>
      <c r="U68" s="971">
        <v>0.52500000000000002</v>
      </c>
      <c r="V68" s="971">
        <v>0</v>
      </c>
      <c r="X68" s="971">
        <f t="shared" si="22"/>
        <v>3.9999999999999956</v>
      </c>
      <c r="Y68" s="971">
        <f t="shared" si="22"/>
        <v>0</v>
      </c>
      <c r="Z68" s="971">
        <f t="shared" si="23"/>
        <v>0</v>
      </c>
      <c r="AA68" s="971">
        <f t="shared" si="23"/>
        <v>0</v>
      </c>
      <c r="AB68" s="971">
        <f t="shared" si="24"/>
        <v>42.999999999999957</v>
      </c>
      <c r="AC68" s="971">
        <f t="shared" si="24"/>
        <v>0</v>
      </c>
      <c r="AD68" s="971">
        <f t="shared" si="25"/>
        <v>5.0000000000000036</v>
      </c>
      <c r="AE68" s="971">
        <f t="shared" si="25"/>
        <v>0</v>
      </c>
      <c r="AF68" s="971">
        <f t="shared" si="26"/>
        <v>0</v>
      </c>
      <c r="AG68" s="971">
        <f t="shared" si="26"/>
        <v>0</v>
      </c>
      <c r="AH68" s="971">
        <f t="shared" si="27"/>
        <v>63</v>
      </c>
      <c r="AI68" s="971">
        <f t="shared" si="27"/>
        <v>0</v>
      </c>
      <c r="AL68" s="971">
        <v>0.268041237113402</v>
      </c>
      <c r="AM68" s="971">
        <v>0</v>
      </c>
      <c r="AO68">
        <f t="shared" si="28"/>
        <v>32.16494845360824</v>
      </c>
      <c r="AP68">
        <f t="shared" si="28"/>
        <v>0</v>
      </c>
      <c r="AS68" s="972">
        <v>0.21666666666666701</v>
      </c>
      <c r="AT68" s="972">
        <v>0</v>
      </c>
      <c r="AU68" s="972">
        <f t="shared" si="29"/>
        <v>0.116666666666667</v>
      </c>
      <c r="AV68" s="987">
        <f t="shared" si="29"/>
        <v>-0.1</v>
      </c>
      <c r="AX68">
        <f t="shared" si="30"/>
        <v>14.000000000000041</v>
      </c>
      <c r="AY68">
        <f t="shared" si="30"/>
        <v>0</v>
      </c>
      <c r="BA68" s="971">
        <v>0</v>
      </c>
      <c r="BC68">
        <f t="shared" ref="BC68:BC78" si="31">BA68*C68</f>
        <v>0</v>
      </c>
      <c r="BF68">
        <v>0</v>
      </c>
      <c r="BG68" s="971"/>
      <c r="BK68" s="1240">
        <v>0.21666666666666701</v>
      </c>
      <c r="BL68" s="1240">
        <v>0</v>
      </c>
    </row>
    <row r="69" spans="1:64" x14ac:dyDescent="0.2">
      <c r="A69" s="968" t="s">
        <v>59</v>
      </c>
      <c r="B69" s="969">
        <v>2466</v>
      </c>
      <c r="C69" s="970">
        <f>VLOOKUP($B69,AWPU!$B:$L,9,FALSE)</f>
        <v>197</v>
      </c>
      <c r="D69" s="970">
        <f>VLOOKUP(B69,AWPU!B:L,10,FALSE)+VLOOKUP('2015 Factor % to units'!B69,AWPU!B:L,11,FALSE)</f>
        <v>0</v>
      </c>
      <c r="E69" s="971">
        <v>0.30857142857142855</v>
      </c>
      <c r="F69" s="971">
        <v>0</v>
      </c>
      <c r="G69" s="971">
        <f t="shared" si="21"/>
        <v>60.788571428571423</v>
      </c>
      <c r="H69" s="971">
        <f t="shared" si="21"/>
        <v>0</v>
      </c>
      <c r="K69" s="971">
        <v>0.27317073170731698</v>
      </c>
      <c r="L69" s="971">
        <v>0</v>
      </c>
      <c r="M69" s="971">
        <v>0.190243902439024</v>
      </c>
      <c r="N69" s="971">
        <v>0</v>
      </c>
      <c r="O69" s="971">
        <v>5.8536585365853697E-2</v>
      </c>
      <c r="P69" s="971">
        <v>0</v>
      </c>
      <c r="Q69" s="971">
        <v>6.3414634146341506E-2</v>
      </c>
      <c r="R69" s="971">
        <v>0</v>
      </c>
      <c r="S69" s="971">
        <v>4.39024390243902E-2</v>
      </c>
      <c r="T69" s="971">
        <v>0</v>
      </c>
      <c r="U69" s="971">
        <v>0</v>
      </c>
      <c r="V69" s="971">
        <v>0</v>
      </c>
      <c r="X69" s="971">
        <f t="shared" si="22"/>
        <v>53.814634146341447</v>
      </c>
      <c r="Y69" s="971">
        <f t="shared" si="22"/>
        <v>0</v>
      </c>
      <c r="Z69" s="971">
        <f t="shared" si="23"/>
        <v>37.478048780487725</v>
      </c>
      <c r="AA69" s="971">
        <f t="shared" si="23"/>
        <v>0</v>
      </c>
      <c r="AB69" s="971">
        <f t="shared" si="24"/>
        <v>11.531707317073177</v>
      </c>
      <c r="AC69" s="971">
        <f t="shared" si="24"/>
        <v>0</v>
      </c>
      <c r="AD69" s="971">
        <f t="shared" si="25"/>
        <v>12.492682926829277</v>
      </c>
      <c r="AE69" s="971">
        <f t="shared" si="25"/>
        <v>0</v>
      </c>
      <c r="AF69" s="971">
        <f t="shared" si="26"/>
        <v>8.6487804878048689</v>
      </c>
      <c r="AG69" s="971">
        <f t="shared" si="26"/>
        <v>0</v>
      </c>
      <c r="AH69" s="971">
        <f t="shared" si="27"/>
        <v>0</v>
      </c>
      <c r="AI69" s="971">
        <f t="shared" si="27"/>
        <v>0</v>
      </c>
      <c r="AL69" s="971">
        <v>1.7341040462427699E-2</v>
      </c>
      <c r="AM69" s="971">
        <v>0</v>
      </c>
      <c r="AO69">
        <f t="shared" si="28"/>
        <v>3.4161849710982568</v>
      </c>
      <c r="AP69">
        <f t="shared" si="28"/>
        <v>0</v>
      </c>
      <c r="AS69" s="972">
        <v>0.23902439024390201</v>
      </c>
      <c r="AT69" s="972">
        <v>0</v>
      </c>
      <c r="AU69" s="972">
        <f t="shared" si="29"/>
        <v>0.13902439024390201</v>
      </c>
      <c r="AV69" s="987">
        <f t="shared" si="29"/>
        <v>-0.1</v>
      </c>
      <c r="AX69">
        <f t="shared" si="30"/>
        <v>27.387804878048694</v>
      </c>
      <c r="AY69">
        <f t="shared" si="30"/>
        <v>0</v>
      </c>
      <c r="BA69" s="971">
        <v>0</v>
      </c>
      <c r="BC69">
        <f t="shared" si="31"/>
        <v>0</v>
      </c>
      <c r="BF69">
        <v>0</v>
      </c>
      <c r="BG69" s="971"/>
      <c r="BK69" s="1240">
        <v>0.23902439024390201</v>
      </c>
      <c r="BL69" s="1240">
        <v>0</v>
      </c>
    </row>
    <row r="70" spans="1:64" x14ac:dyDescent="0.2">
      <c r="A70" s="968" t="s">
        <v>60</v>
      </c>
      <c r="B70" s="969">
        <v>3543</v>
      </c>
      <c r="C70" s="970">
        <f>VLOOKUP($B70,AWPU!$B:$L,9,FALSE)</f>
        <v>301</v>
      </c>
      <c r="D70" s="970">
        <f>VLOOKUP(B70,AWPU!B:L,10,FALSE)+VLOOKUP('2015 Factor % to units'!B70,AWPU!B:L,11,FALSE)</f>
        <v>0</v>
      </c>
      <c r="E70" s="971">
        <v>0.19661016949152543</v>
      </c>
      <c r="F70" s="971">
        <v>0</v>
      </c>
      <c r="G70" s="971">
        <f t="shared" si="21"/>
        <v>59.179661016949154</v>
      </c>
      <c r="H70" s="971">
        <f t="shared" si="21"/>
        <v>0</v>
      </c>
      <c r="K70" s="971">
        <v>0.13666666666666699</v>
      </c>
      <c r="L70" s="971">
        <v>0</v>
      </c>
      <c r="M70" s="971">
        <v>4.6666666666666697E-2</v>
      </c>
      <c r="N70" s="971">
        <v>0</v>
      </c>
      <c r="O70" s="971">
        <v>0.123333333333333</v>
      </c>
      <c r="P70" s="971">
        <v>0</v>
      </c>
      <c r="Q70" s="971">
        <v>4.6666666666666697E-2</v>
      </c>
      <c r="R70" s="971">
        <v>0</v>
      </c>
      <c r="S70" s="971">
        <v>0.13666666666666699</v>
      </c>
      <c r="T70" s="971">
        <v>0</v>
      </c>
      <c r="U70" s="971">
        <v>6.6666666666666697E-3</v>
      </c>
      <c r="V70" s="971">
        <v>0</v>
      </c>
      <c r="X70" s="971">
        <f t="shared" si="22"/>
        <v>41.136666666666763</v>
      </c>
      <c r="Y70" s="971">
        <f t="shared" si="22"/>
        <v>0</v>
      </c>
      <c r="Z70" s="971">
        <f t="shared" si="23"/>
        <v>14.046666666666676</v>
      </c>
      <c r="AA70" s="971">
        <f t="shared" si="23"/>
        <v>0</v>
      </c>
      <c r="AB70" s="971">
        <f t="shared" si="24"/>
        <v>37.123333333333235</v>
      </c>
      <c r="AC70" s="971">
        <f t="shared" si="24"/>
        <v>0</v>
      </c>
      <c r="AD70" s="971">
        <f t="shared" si="25"/>
        <v>14.046666666666676</v>
      </c>
      <c r="AE70" s="971">
        <f t="shared" si="25"/>
        <v>0</v>
      </c>
      <c r="AF70" s="971">
        <f t="shared" si="26"/>
        <v>41.136666666666763</v>
      </c>
      <c r="AG70" s="971">
        <f t="shared" si="26"/>
        <v>0</v>
      </c>
      <c r="AH70" s="971">
        <f t="shared" si="27"/>
        <v>2.0066666666666677</v>
      </c>
      <c r="AI70" s="971">
        <f t="shared" si="27"/>
        <v>0</v>
      </c>
      <c r="AL70" s="971">
        <v>7.4509803921568599E-2</v>
      </c>
      <c r="AM70" s="971">
        <v>0</v>
      </c>
      <c r="AO70">
        <f t="shared" si="28"/>
        <v>22.427450980392148</v>
      </c>
      <c r="AP70">
        <f t="shared" si="28"/>
        <v>0</v>
      </c>
      <c r="AS70" s="972">
        <v>2.9900332225913599E-2</v>
      </c>
      <c r="AT70" s="972">
        <v>0</v>
      </c>
      <c r="AU70" s="972">
        <f t="shared" si="29"/>
        <v>-7.009966777408641E-2</v>
      </c>
      <c r="AV70" s="987">
        <f t="shared" si="29"/>
        <v>-0.1</v>
      </c>
      <c r="AX70">
        <f t="shared" si="30"/>
        <v>0</v>
      </c>
      <c r="AY70">
        <f t="shared" si="30"/>
        <v>0</v>
      </c>
      <c r="BA70" s="971">
        <v>6.7796610169491523E-3</v>
      </c>
      <c r="BC70">
        <f t="shared" si="31"/>
        <v>2.0406779661016947</v>
      </c>
      <c r="BF70">
        <v>0</v>
      </c>
      <c r="BG70" s="971"/>
      <c r="BK70" s="1240">
        <v>2.9900332225913599E-2</v>
      </c>
      <c r="BL70" s="1240">
        <v>0</v>
      </c>
    </row>
    <row r="71" spans="1:64" x14ac:dyDescent="0.2">
      <c r="A71" s="990" t="s">
        <v>62</v>
      </c>
      <c r="B71" s="991">
        <v>3531</v>
      </c>
      <c r="C71" s="970">
        <f>VLOOKUP($B71,AWPU!$B:$L,9,FALSE)</f>
        <v>352</v>
      </c>
      <c r="D71" s="970">
        <f>VLOOKUP(B71,AWPU!B:L,10,FALSE)+VLOOKUP('2015 Factor % to units'!B71,AWPU!B:L,11,FALSE)</f>
        <v>0</v>
      </c>
      <c r="E71" s="971">
        <v>0.30285714285714288</v>
      </c>
      <c r="F71" s="971">
        <v>0</v>
      </c>
      <c r="G71" s="971">
        <f t="shared" si="21"/>
        <v>106.6057142857143</v>
      </c>
      <c r="H71" s="971">
        <f t="shared" si="21"/>
        <v>0</v>
      </c>
      <c r="K71" s="971">
        <v>6.08695652173913E-2</v>
      </c>
      <c r="L71" s="971">
        <v>0</v>
      </c>
      <c r="M71" s="971">
        <v>5.7971014492753598E-3</v>
      </c>
      <c r="N71" s="971">
        <v>0</v>
      </c>
      <c r="O71" s="971">
        <v>0.15942028985507201</v>
      </c>
      <c r="P71" s="971">
        <v>0</v>
      </c>
      <c r="Q71" s="971">
        <v>0.13043478260869601</v>
      </c>
      <c r="R71" s="971">
        <v>0</v>
      </c>
      <c r="S71" s="971">
        <v>4.3478260869565202E-2</v>
      </c>
      <c r="T71" s="971">
        <v>0</v>
      </c>
      <c r="U71" s="971">
        <v>0.147826086956522</v>
      </c>
      <c r="V71" s="971">
        <v>0</v>
      </c>
      <c r="X71" s="971">
        <f t="shared" si="22"/>
        <v>21.426086956521736</v>
      </c>
      <c r="Y71" s="971">
        <f t="shared" si="22"/>
        <v>0</v>
      </c>
      <c r="Z71" s="971">
        <f t="shared" si="23"/>
        <v>2.0405797101449266</v>
      </c>
      <c r="AA71" s="971">
        <f t="shared" si="23"/>
        <v>0</v>
      </c>
      <c r="AB71" s="971">
        <f t="shared" si="24"/>
        <v>56.115942028985344</v>
      </c>
      <c r="AC71" s="971">
        <f t="shared" si="24"/>
        <v>0</v>
      </c>
      <c r="AD71" s="971">
        <f t="shared" si="25"/>
        <v>45.913043478260995</v>
      </c>
      <c r="AE71" s="971">
        <f t="shared" si="25"/>
        <v>0</v>
      </c>
      <c r="AF71" s="971">
        <f t="shared" si="26"/>
        <v>15.304347826086952</v>
      </c>
      <c r="AG71" s="971">
        <f t="shared" si="26"/>
        <v>0</v>
      </c>
      <c r="AH71" s="971">
        <f t="shared" si="27"/>
        <v>52.034782608695743</v>
      </c>
      <c r="AI71" s="971">
        <f t="shared" si="27"/>
        <v>0</v>
      </c>
      <c r="AL71" s="971">
        <v>0.105960264900662</v>
      </c>
      <c r="AM71" s="971">
        <v>0</v>
      </c>
      <c r="AO71">
        <f t="shared" si="28"/>
        <v>37.298013245033026</v>
      </c>
      <c r="AP71">
        <f t="shared" si="28"/>
        <v>0</v>
      </c>
      <c r="AS71" s="972">
        <v>5.6818181818181802E-2</v>
      </c>
      <c r="AT71" s="972">
        <v>0</v>
      </c>
      <c r="AU71" s="972">
        <f t="shared" si="29"/>
        <v>-4.3181818181818203E-2</v>
      </c>
      <c r="AV71" s="987">
        <f t="shared" si="29"/>
        <v>-0.1</v>
      </c>
      <c r="AX71">
        <f t="shared" si="30"/>
        <v>0</v>
      </c>
      <c r="AY71">
        <f t="shared" si="30"/>
        <v>0</v>
      </c>
      <c r="BA71" s="971">
        <v>0</v>
      </c>
      <c r="BC71">
        <f t="shared" si="31"/>
        <v>0</v>
      </c>
      <c r="BF71">
        <v>0</v>
      </c>
      <c r="BG71" s="971"/>
      <c r="BK71" s="1240">
        <v>5.6818181818181802E-2</v>
      </c>
      <c r="BL71" s="1240">
        <v>0</v>
      </c>
    </row>
    <row r="72" spans="1:64" x14ac:dyDescent="0.2">
      <c r="A72" s="968" t="s">
        <v>103</v>
      </c>
      <c r="B72" s="969">
        <v>3526</v>
      </c>
      <c r="C72" s="970">
        <f>VLOOKUP($B72,AWPU!$B:$L,9,FALSE)</f>
        <v>85</v>
      </c>
      <c r="D72" s="970">
        <f>VLOOKUP(B72,AWPU!B:L,10,FALSE)+VLOOKUP('2015 Factor % to units'!B72,AWPU!B:L,11,FALSE)</f>
        <v>0</v>
      </c>
      <c r="E72" s="971">
        <v>0.36046511627906974</v>
      </c>
      <c r="F72" s="971">
        <v>0</v>
      </c>
      <c r="G72" s="971">
        <f t="shared" si="21"/>
        <v>30.639534883720927</v>
      </c>
      <c r="H72" s="971">
        <f t="shared" si="21"/>
        <v>0</v>
      </c>
      <c r="K72" s="971">
        <v>1.20481927710843E-2</v>
      </c>
      <c r="L72" s="971">
        <v>0</v>
      </c>
      <c r="M72" s="971">
        <v>7.2289156626505993E-2</v>
      </c>
      <c r="N72" s="971">
        <v>0</v>
      </c>
      <c r="O72" s="971">
        <v>0.240963855421687</v>
      </c>
      <c r="P72" s="971">
        <v>0</v>
      </c>
      <c r="Q72" s="971">
        <v>0.530120481927711</v>
      </c>
      <c r="R72" s="971">
        <v>0</v>
      </c>
      <c r="S72" s="971">
        <v>0</v>
      </c>
      <c r="T72" s="971">
        <v>0</v>
      </c>
      <c r="U72" s="971">
        <v>0.14457831325301199</v>
      </c>
      <c r="V72" s="971">
        <v>0</v>
      </c>
      <c r="X72" s="971">
        <f t="shared" si="22"/>
        <v>1.0240963855421654</v>
      </c>
      <c r="Y72" s="971">
        <f t="shared" si="22"/>
        <v>0</v>
      </c>
      <c r="Z72" s="971">
        <f t="shared" si="23"/>
        <v>6.1445783132530094</v>
      </c>
      <c r="AA72" s="971">
        <f t="shared" si="23"/>
        <v>0</v>
      </c>
      <c r="AB72" s="971">
        <f t="shared" si="24"/>
        <v>20.481927710843394</v>
      </c>
      <c r="AC72" s="971">
        <f t="shared" si="24"/>
        <v>0</v>
      </c>
      <c r="AD72" s="971">
        <f t="shared" si="25"/>
        <v>45.060240963855435</v>
      </c>
      <c r="AE72" s="971">
        <f t="shared" si="25"/>
        <v>0</v>
      </c>
      <c r="AF72" s="971">
        <f t="shared" si="26"/>
        <v>0</v>
      </c>
      <c r="AG72" s="971">
        <f t="shared" si="26"/>
        <v>0</v>
      </c>
      <c r="AH72" s="971">
        <f t="shared" si="27"/>
        <v>12.289156626506019</v>
      </c>
      <c r="AI72" s="971">
        <f t="shared" si="27"/>
        <v>0</v>
      </c>
      <c r="AL72" s="971">
        <v>0.78181818181818197</v>
      </c>
      <c r="AM72" s="971">
        <v>0</v>
      </c>
      <c r="AO72">
        <f t="shared" si="28"/>
        <v>66.454545454545467</v>
      </c>
      <c r="AP72">
        <f t="shared" si="28"/>
        <v>0</v>
      </c>
      <c r="AS72" s="972">
        <v>0.14117647058823499</v>
      </c>
      <c r="AT72" s="972">
        <v>0</v>
      </c>
      <c r="AU72" s="972">
        <f t="shared" si="29"/>
        <v>4.1176470588234981E-2</v>
      </c>
      <c r="AV72" s="987">
        <f t="shared" si="29"/>
        <v>-0.1</v>
      </c>
      <c r="AX72">
        <f t="shared" si="30"/>
        <v>3.4999999999999734</v>
      </c>
      <c r="AY72">
        <f t="shared" si="30"/>
        <v>0</v>
      </c>
      <c r="BA72" s="971">
        <v>0</v>
      </c>
      <c r="BC72">
        <f t="shared" si="31"/>
        <v>0</v>
      </c>
      <c r="BF72">
        <v>0</v>
      </c>
      <c r="BG72" s="971"/>
      <c r="BK72" s="1240">
        <v>0.14117647058823499</v>
      </c>
      <c r="BL72" s="1240">
        <v>0</v>
      </c>
    </row>
    <row r="73" spans="1:64" x14ac:dyDescent="0.2">
      <c r="A73" s="968" t="s">
        <v>104</v>
      </c>
      <c r="B73" s="969">
        <v>3535</v>
      </c>
      <c r="C73" s="970">
        <f>VLOOKUP($B73,AWPU!$B:$L,9,FALSE)</f>
        <v>297</v>
      </c>
      <c r="D73" s="970">
        <f>VLOOKUP(B73,AWPU!B:L,10,FALSE)+VLOOKUP('2015 Factor % to units'!B73,AWPU!B:L,11,FALSE)</f>
        <v>0</v>
      </c>
      <c r="E73" s="971">
        <v>0.50830564784053156</v>
      </c>
      <c r="F73" s="971">
        <v>0</v>
      </c>
      <c r="G73" s="971">
        <f t="shared" si="21"/>
        <v>150.96677740863788</v>
      </c>
      <c r="H73" s="971">
        <f t="shared" si="21"/>
        <v>0</v>
      </c>
      <c r="K73" s="971">
        <v>3.3898305084745801E-3</v>
      </c>
      <c r="L73" s="971">
        <v>0</v>
      </c>
      <c r="M73" s="971">
        <v>8.1355932203389797E-2</v>
      </c>
      <c r="N73" s="971">
        <v>0</v>
      </c>
      <c r="O73" s="971">
        <v>0.189830508474576</v>
      </c>
      <c r="P73" s="971">
        <v>0</v>
      </c>
      <c r="Q73" s="971">
        <v>0.57288135593220302</v>
      </c>
      <c r="R73" s="971">
        <v>0</v>
      </c>
      <c r="S73" s="971">
        <v>6.7796610169491497E-3</v>
      </c>
      <c r="T73" s="971">
        <v>0</v>
      </c>
      <c r="U73" s="971">
        <v>0.10847457627118599</v>
      </c>
      <c r="V73" s="971">
        <v>0</v>
      </c>
      <c r="X73" s="971">
        <f t="shared" si="22"/>
        <v>1.0067796610169504</v>
      </c>
      <c r="Y73" s="971">
        <f t="shared" si="22"/>
        <v>0</v>
      </c>
      <c r="Z73" s="971">
        <f t="shared" si="23"/>
        <v>24.16271186440677</v>
      </c>
      <c r="AA73" s="971">
        <f t="shared" si="23"/>
        <v>0</v>
      </c>
      <c r="AB73" s="971">
        <f t="shared" si="24"/>
        <v>56.379661016949072</v>
      </c>
      <c r="AC73" s="971">
        <f t="shared" si="24"/>
        <v>0</v>
      </c>
      <c r="AD73" s="971">
        <f t="shared" si="25"/>
        <v>170.14576271186431</v>
      </c>
      <c r="AE73" s="971">
        <f t="shared" si="25"/>
        <v>0</v>
      </c>
      <c r="AF73" s="971">
        <f t="shared" si="26"/>
        <v>2.0135593220338976</v>
      </c>
      <c r="AG73" s="971">
        <f t="shared" si="26"/>
        <v>0</v>
      </c>
      <c r="AH73" s="971">
        <f t="shared" si="27"/>
        <v>32.216949152542242</v>
      </c>
      <c r="AI73" s="971">
        <f t="shared" si="27"/>
        <v>0</v>
      </c>
      <c r="AL73" s="971">
        <v>0.28040540540540498</v>
      </c>
      <c r="AM73" s="971">
        <v>0</v>
      </c>
      <c r="AO73">
        <f t="shared" si="28"/>
        <v>83.280405405405276</v>
      </c>
      <c r="AP73">
        <f t="shared" si="28"/>
        <v>0</v>
      </c>
      <c r="AS73" s="972">
        <v>6.7340067340067297E-2</v>
      </c>
      <c r="AT73" s="972">
        <v>0</v>
      </c>
      <c r="AU73" s="972">
        <f t="shared" si="29"/>
        <v>-3.2659932659932708E-2</v>
      </c>
      <c r="AV73" s="987">
        <f t="shared" si="29"/>
        <v>-0.1</v>
      </c>
      <c r="AX73">
        <f t="shared" si="30"/>
        <v>0</v>
      </c>
      <c r="AY73">
        <f t="shared" si="30"/>
        <v>0</v>
      </c>
      <c r="BA73" s="971">
        <v>6.6445182724252493E-3</v>
      </c>
      <c r="BC73">
        <f t="shared" si="31"/>
        <v>1.9734219269102991</v>
      </c>
      <c r="BF73">
        <v>0</v>
      </c>
      <c r="BG73" s="971"/>
      <c r="BK73" s="1240">
        <v>6.7340067340067297E-2</v>
      </c>
      <c r="BL73" s="1240">
        <v>0</v>
      </c>
    </row>
    <row r="74" spans="1:64" x14ac:dyDescent="0.2">
      <c r="A74" s="992" t="s">
        <v>64</v>
      </c>
      <c r="B74" s="993">
        <v>2008</v>
      </c>
      <c r="C74" s="970">
        <f>VLOOKUP($B74,AWPU!$B:$L,9,FALSE)</f>
        <v>228</v>
      </c>
      <c r="D74" s="970">
        <f>VLOOKUP(B74,AWPU!B:L,10,FALSE)+VLOOKUP('2015 Factor % to units'!B74,AWPU!B:L,11,FALSE)</f>
        <v>0</v>
      </c>
      <c r="E74" s="971">
        <v>0.33333333333333331</v>
      </c>
      <c r="F74" s="971">
        <v>0</v>
      </c>
      <c r="G74" s="971">
        <f t="shared" si="21"/>
        <v>76</v>
      </c>
      <c r="H74" s="971">
        <f t="shared" si="21"/>
        <v>0</v>
      </c>
      <c r="K74" s="971">
        <v>7.4889867841409705E-2</v>
      </c>
      <c r="L74" s="971">
        <v>0</v>
      </c>
      <c r="M74" s="971">
        <v>0.114537444933921</v>
      </c>
      <c r="N74" s="971">
        <v>0</v>
      </c>
      <c r="O74" s="971">
        <v>0.12775330396475801</v>
      </c>
      <c r="P74" s="971">
        <v>0</v>
      </c>
      <c r="Q74" s="971">
        <v>0.25110132158590298</v>
      </c>
      <c r="R74" s="971">
        <v>0</v>
      </c>
      <c r="S74" s="971">
        <v>0.114537444933921</v>
      </c>
      <c r="T74" s="971">
        <v>0</v>
      </c>
      <c r="U74" s="971">
        <v>4.4052863436123399E-2</v>
      </c>
      <c r="V74" s="971">
        <v>0</v>
      </c>
      <c r="X74" s="971">
        <f t="shared" si="22"/>
        <v>17.074889867841414</v>
      </c>
      <c r="Y74" s="971">
        <f t="shared" si="22"/>
        <v>0</v>
      </c>
      <c r="Z74" s="971">
        <f t="shared" si="23"/>
        <v>26.114537444933987</v>
      </c>
      <c r="AA74" s="971">
        <f t="shared" si="23"/>
        <v>0</v>
      </c>
      <c r="AB74" s="971">
        <f t="shared" si="24"/>
        <v>29.127753303964827</v>
      </c>
      <c r="AC74" s="971">
        <f t="shared" si="24"/>
        <v>0</v>
      </c>
      <c r="AD74" s="971">
        <f t="shared" si="25"/>
        <v>57.251101321585878</v>
      </c>
      <c r="AE74" s="971">
        <f t="shared" si="25"/>
        <v>0</v>
      </c>
      <c r="AF74" s="971">
        <f t="shared" si="26"/>
        <v>26.114537444933987</v>
      </c>
      <c r="AG74" s="971">
        <f t="shared" si="26"/>
        <v>0</v>
      </c>
      <c r="AH74" s="971">
        <f t="shared" si="27"/>
        <v>10.044052863436136</v>
      </c>
      <c r="AI74" s="971">
        <f t="shared" si="27"/>
        <v>0</v>
      </c>
      <c r="AL74" s="971">
        <v>7.5757575757575801E-2</v>
      </c>
      <c r="AM74" s="971">
        <v>0</v>
      </c>
      <c r="AO74">
        <f t="shared" si="28"/>
        <v>17.272727272727284</v>
      </c>
      <c r="AP74">
        <f t="shared" si="28"/>
        <v>0</v>
      </c>
      <c r="AS74" s="972">
        <v>6.5789473684210495E-2</v>
      </c>
      <c r="AT74" s="972">
        <v>0</v>
      </c>
      <c r="AU74" s="972">
        <f t="shared" si="29"/>
        <v>-3.4210526315789511E-2</v>
      </c>
      <c r="AV74" s="987">
        <f t="shared" si="29"/>
        <v>-0.1</v>
      </c>
      <c r="AX74">
        <f t="shared" si="30"/>
        <v>0</v>
      </c>
      <c r="AY74">
        <f t="shared" si="30"/>
        <v>0</v>
      </c>
      <c r="BA74" s="971">
        <v>0</v>
      </c>
      <c r="BC74">
        <f t="shared" si="31"/>
        <v>0</v>
      </c>
      <c r="BF74">
        <v>0</v>
      </c>
      <c r="BG74" s="971"/>
      <c r="BK74" s="1240">
        <v>6.5789473684210495E-2</v>
      </c>
      <c r="BL74" s="1240">
        <v>0</v>
      </c>
    </row>
    <row r="75" spans="1:64" x14ac:dyDescent="0.2">
      <c r="A75" s="968" t="s">
        <v>105</v>
      </c>
      <c r="B75" s="969">
        <v>3542</v>
      </c>
      <c r="C75" s="970">
        <f>VLOOKUP($B75,AWPU!$B:$L,9,FALSE)</f>
        <v>351</v>
      </c>
      <c r="D75" s="970">
        <f>VLOOKUP(B75,AWPU!B:L,10,FALSE)+VLOOKUP('2015 Factor % to units'!B75,AWPU!B:L,11,FALSE)</f>
        <v>0</v>
      </c>
      <c r="E75" s="971">
        <v>0.1977715877437326</v>
      </c>
      <c r="F75" s="971">
        <v>0</v>
      </c>
      <c r="G75" s="971">
        <f t="shared" si="21"/>
        <v>69.417827298050142</v>
      </c>
      <c r="H75" s="971">
        <f t="shared" si="21"/>
        <v>0</v>
      </c>
      <c r="K75" s="971">
        <v>3.4285714285714301E-2</v>
      </c>
      <c r="L75" s="971">
        <v>0</v>
      </c>
      <c r="M75" s="971">
        <v>0.20857142857142899</v>
      </c>
      <c r="N75" s="971">
        <v>0</v>
      </c>
      <c r="O75" s="971">
        <v>0.23714285714285699</v>
      </c>
      <c r="P75" s="971">
        <v>0</v>
      </c>
      <c r="Q75" s="971">
        <v>0.13142857142857101</v>
      </c>
      <c r="R75" s="971">
        <v>0</v>
      </c>
      <c r="S75" s="971">
        <v>0.08</v>
      </c>
      <c r="T75" s="971">
        <v>0</v>
      </c>
      <c r="U75" s="971">
        <v>7.4285714285714302E-2</v>
      </c>
      <c r="V75" s="971">
        <v>0</v>
      </c>
      <c r="X75" s="971">
        <f t="shared" si="22"/>
        <v>12.034285714285719</v>
      </c>
      <c r="Y75" s="971">
        <f t="shared" si="22"/>
        <v>0</v>
      </c>
      <c r="Z75" s="971">
        <f t="shared" si="23"/>
        <v>73.208571428571574</v>
      </c>
      <c r="AA75" s="971">
        <f t="shared" si="23"/>
        <v>0</v>
      </c>
      <c r="AB75" s="971">
        <f t="shared" si="24"/>
        <v>83.2371428571428</v>
      </c>
      <c r="AC75" s="971">
        <f t="shared" si="24"/>
        <v>0</v>
      </c>
      <c r="AD75" s="971">
        <f t="shared" si="25"/>
        <v>46.131428571428422</v>
      </c>
      <c r="AE75" s="971">
        <f t="shared" si="25"/>
        <v>0</v>
      </c>
      <c r="AF75" s="971">
        <f t="shared" si="26"/>
        <v>28.080000000000002</v>
      </c>
      <c r="AG75" s="971">
        <f t="shared" si="26"/>
        <v>0</v>
      </c>
      <c r="AH75" s="971">
        <f t="shared" si="27"/>
        <v>26.074285714285718</v>
      </c>
      <c r="AI75" s="971">
        <f t="shared" si="27"/>
        <v>0</v>
      </c>
      <c r="AL75" s="971">
        <v>0.26245847176079701</v>
      </c>
      <c r="AM75" s="971">
        <v>0</v>
      </c>
      <c r="AO75">
        <f t="shared" si="28"/>
        <v>92.122923588039754</v>
      </c>
      <c r="AP75">
        <f t="shared" si="28"/>
        <v>0</v>
      </c>
      <c r="AS75" s="972">
        <v>2.5641025641025599E-2</v>
      </c>
      <c r="AT75" s="972">
        <v>0</v>
      </c>
      <c r="AU75" s="972">
        <f t="shared" si="29"/>
        <v>-7.43589743589744E-2</v>
      </c>
      <c r="AV75" s="987">
        <f t="shared" si="29"/>
        <v>-0.1</v>
      </c>
      <c r="AX75">
        <f t="shared" si="30"/>
        <v>0</v>
      </c>
      <c r="AY75">
        <f t="shared" si="30"/>
        <v>0</v>
      </c>
      <c r="BA75" s="971">
        <v>8.356545961002786E-3</v>
      </c>
      <c r="BC75">
        <f t="shared" si="31"/>
        <v>2.9331476323119778</v>
      </c>
      <c r="BF75">
        <v>0</v>
      </c>
      <c r="BG75" s="971"/>
      <c r="BK75" s="1240">
        <v>2.5641025641025599E-2</v>
      </c>
      <c r="BL75" s="1240">
        <v>0</v>
      </c>
    </row>
    <row r="76" spans="1:64" x14ac:dyDescent="0.2">
      <c r="A76" s="968" t="s">
        <v>106</v>
      </c>
      <c r="B76" s="969">
        <v>3528</v>
      </c>
      <c r="C76" s="970">
        <f>VLOOKUP($B76,AWPU!$B:$L,9,FALSE)</f>
        <v>347</v>
      </c>
      <c r="D76" s="970">
        <f>VLOOKUP(B76,AWPU!B:L,10,FALSE)+VLOOKUP('2015 Factor % to units'!B76,AWPU!B:L,11,FALSE)</f>
        <v>0</v>
      </c>
      <c r="E76" s="971">
        <v>0.26610644257703081</v>
      </c>
      <c r="F76" s="971">
        <v>0</v>
      </c>
      <c r="G76" s="971">
        <f t="shared" si="21"/>
        <v>92.338935574229694</v>
      </c>
      <c r="H76" s="971">
        <f t="shared" si="21"/>
        <v>0</v>
      </c>
      <c r="K76" s="971">
        <v>5.2023121387283197E-2</v>
      </c>
      <c r="L76" s="971">
        <v>0</v>
      </c>
      <c r="M76" s="971">
        <v>0.15895953757225401</v>
      </c>
      <c r="N76" s="971">
        <v>0</v>
      </c>
      <c r="O76" s="971">
        <v>0.239884393063584</v>
      </c>
      <c r="P76" s="971">
        <v>0</v>
      </c>
      <c r="Q76" s="971">
        <v>6.06936416184971E-2</v>
      </c>
      <c r="R76" s="971">
        <v>0</v>
      </c>
      <c r="S76" s="971">
        <v>6.9364161849711004E-2</v>
      </c>
      <c r="T76" s="971">
        <v>0</v>
      </c>
      <c r="U76" s="971">
        <v>4.9132947976878602E-2</v>
      </c>
      <c r="V76" s="971">
        <v>0</v>
      </c>
      <c r="X76" s="971">
        <f t="shared" si="22"/>
        <v>18.052023121387268</v>
      </c>
      <c r="Y76" s="971">
        <f t="shared" si="22"/>
        <v>0</v>
      </c>
      <c r="Z76" s="971">
        <f t="shared" si="23"/>
        <v>55.158959537572137</v>
      </c>
      <c r="AA76" s="971">
        <f t="shared" si="23"/>
        <v>0</v>
      </c>
      <c r="AB76" s="971">
        <f t="shared" si="24"/>
        <v>83.239884393063647</v>
      </c>
      <c r="AC76" s="971">
        <f t="shared" si="24"/>
        <v>0</v>
      </c>
      <c r="AD76" s="971">
        <f t="shared" si="25"/>
        <v>21.060693641618492</v>
      </c>
      <c r="AE76" s="971">
        <f t="shared" si="25"/>
        <v>0</v>
      </c>
      <c r="AF76" s="971">
        <f t="shared" si="26"/>
        <v>24.06936416184972</v>
      </c>
      <c r="AG76" s="971">
        <f t="shared" si="26"/>
        <v>0</v>
      </c>
      <c r="AH76" s="971">
        <f t="shared" si="27"/>
        <v>17.049132947976876</v>
      </c>
      <c r="AI76" s="971">
        <f t="shared" si="27"/>
        <v>0</v>
      </c>
      <c r="AL76" s="971">
        <v>0.19178082191780799</v>
      </c>
      <c r="AM76" s="971">
        <v>0</v>
      </c>
      <c r="AO76">
        <f t="shared" si="28"/>
        <v>66.547945205479365</v>
      </c>
      <c r="AP76">
        <f t="shared" si="28"/>
        <v>0</v>
      </c>
      <c r="AS76" s="972">
        <v>0.135446685878963</v>
      </c>
      <c r="AT76" s="972">
        <v>0</v>
      </c>
      <c r="AU76" s="972">
        <f t="shared" si="29"/>
        <v>3.5446685878962991E-2</v>
      </c>
      <c r="AV76" s="987">
        <f t="shared" si="29"/>
        <v>-0.1</v>
      </c>
      <c r="AX76">
        <f t="shared" si="30"/>
        <v>12.300000000000159</v>
      </c>
      <c r="AY76">
        <f t="shared" si="30"/>
        <v>0</v>
      </c>
      <c r="BA76" s="971">
        <v>5.6022408963585435E-3</v>
      </c>
      <c r="BC76">
        <f t="shared" si="31"/>
        <v>1.9439775910364145</v>
      </c>
      <c r="BF76">
        <v>0</v>
      </c>
      <c r="BG76" s="971"/>
      <c r="BK76" s="1240">
        <v>0.135446685878963</v>
      </c>
      <c r="BL76" s="1240">
        <v>0</v>
      </c>
    </row>
    <row r="77" spans="1:64" x14ac:dyDescent="0.2">
      <c r="A77" s="968" t="s">
        <v>107</v>
      </c>
      <c r="B77" s="969">
        <v>3534</v>
      </c>
      <c r="C77" s="970">
        <f>VLOOKUP($B77,AWPU!$B:$L,9,FALSE)</f>
        <v>244</v>
      </c>
      <c r="D77" s="970">
        <f>VLOOKUP(B77,AWPU!B:L,10,FALSE)+VLOOKUP('2015 Factor % to units'!B77,AWPU!B:L,11,FALSE)</f>
        <v>0</v>
      </c>
      <c r="E77" s="971">
        <v>0.15546218487394958</v>
      </c>
      <c r="F77" s="971">
        <v>0</v>
      </c>
      <c r="G77" s="971">
        <f t="shared" si="21"/>
        <v>37.932773109243698</v>
      </c>
      <c r="H77" s="971">
        <f t="shared" si="21"/>
        <v>0</v>
      </c>
      <c r="K77" s="971">
        <v>3.2921810699588501E-2</v>
      </c>
      <c r="L77" s="971">
        <v>0</v>
      </c>
      <c r="M77" s="971">
        <v>8.2304526748971193E-2</v>
      </c>
      <c r="N77" s="971">
        <v>0</v>
      </c>
      <c r="O77" s="971">
        <v>6.5843621399177002E-2</v>
      </c>
      <c r="P77" s="971">
        <v>0</v>
      </c>
      <c r="Q77" s="971">
        <v>3.2921810699588501E-2</v>
      </c>
      <c r="R77" s="971">
        <v>0</v>
      </c>
      <c r="S77" s="971">
        <v>8.23045267489712E-3</v>
      </c>
      <c r="T77" s="971">
        <v>0</v>
      </c>
      <c r="U77" s="971">
        <v>4.11522633744856E-3</v>
      </c>
      <c r="V77" s="971">
        <v>0</v>
      </c>
      <c r="X77" s="971">
        <f t="shared" si="22"/>
        <v>8.0329218106995945</v>
      </c>
      <c r="Y77" s="971">
        <f t="shared" si="22"/>
        <v>0</v>
      </c>
      <c r="Z77" s="971">
        <f t="shared" si="23"/>
        <v>20.08230452674897</v>
      </c>
      <c r="AA77" s="971">
        <f t="shared" si="23"/>
        <v>0</v>
      </c>
      <c r="AB77" s="971">
        <f t="shared" si="24"/>
        <v>16.065843621399189</v>
      </c>
      <c r="AC77" s="971">
        <f t="shared" si="24"/>
        <v>0</v>
      </c>
      <c r="AD77" s="971">
        <f t="shared" si="25"/>
        <v>8.0329218106995945</v>
      </c>
      <c r="AE77" s="971">
        <f t="shared" si="25"/>
        <v>0</v>
      </c>
      <c r="AF77" s="971">
        <f t="shared" si="26"/>
        <v>2.0082304526748973</v>
      </c>
      <c r="AG77" s="971">
        <f t="shared" si="26"/>
        <v>0</v>
      </c>
      <c r="AH77" s="971">
        <f t="shared" si="27"/>
        <v>1.0041152263374487</v>
      </c>
      <c r="AI77" s="971">
        <f t="shared" si="27"/>
        <v>0</v>
      </c>
      <c r="AL77" s="971">
        <v>6.6945606694560705E-2</v>
      </c>
      <c r="AM77" s="971">
        <v>0</v>
      </c>
      <c r="AO77">
        <f t="shared" si="28"/>
        <v>16.33472803347281</v>
      </c>
      <c r="AP77">
        <f t="shared" si="28"/>
        <v>0</v>
      </c>
      <c r="AS77" s="972">
        <v>5.3278688524590202E-2</v>
      </c>
      <c r="AT77" s="972">
        <v>0</v>
      </c>
      <c r="AU77" s="972">
        <f t="shared" si="29"/>
        <v>-4.6721311475409803E-2</v>
      </c>
      <c r="AV77" s="987">
        <f t="shared" si="29"/>
        <v>-0.1</v>
      </c>
      <c r="AX77">
        <f t="shared" si="30"/>
        <v>0</v>
      </c>
      <c r="AY77">
        <f t="shared" si="30"/>
        <v>0</v>
      </c>
      <c r="BA77" s="971">
        <v>0</v>
      </c>
      <c r="BC77">
        <f t="shared" si="31"/>
        <v>0</v>
      </c>
      <c r="BF77">
        <v>0</v>
      </c>
      <c r="BG77" s="971"/>
      <c r="BK77" s="1240">
        <v>5.3278688524590202E-2</v>
      </c>
      <c r="BL77" s="1240">
        <v>0</v>
      </c>
    </row>
    <row r="78" spans="1:64" x14ac:dyDescent="0.2">
      <c r="A78" s="968" t="s">
        <v>108</v>
      </c>
      <c r="B78" s="969">
        <v>3532</v>
      </c>
      <c r="C78" s="970">
        <f>VLOOKUP($B78,AWPU!$B:$L,9,FALSE)</f>
        <v>310</v>
      </c>
      <c r="D78" s="970">
        <f>VLOOKUP(B78,AWPU!B:L,10,FALSE)+VLOOKUP('2015 Factor % to units'!B78,AWPU!B:L,11,FALSE)</f>
        <v>0</v>
      </c>
      <c r="E78" s="971">
        <v>8.5808580858085806E-2</v>
      </c>
      <c r="F78" s="971">
        <v>0</v>
      </c>
      <c r="G78" s="971">
        <f t="shared" si="21"/>
        <v>26.600660066006601</v>
      </c>
      <c r="H78" s="971">
        <f t="shared" si="21"/>
        <v>0</v>
      </c>
      <c r="K78" s="971">
        <v>0.15210355987054999</v>
      </c>
      <c r="L78" s="971">
        <v>0</v>
      </c>
      <c r="M78" s="971">
        <v>7.7669902912621394E-2</v>
      </c>
      <c r="N78" s="971">
        <v>0</v>
      </c>
      <c r="O78" s="971">
        <v>1.94174757281553E-2</v>
      </c>
      <c r="P78" s="971">
        <v>0</v>
      </c>
      <c r="Q78" s="971">
        <v>1.6181229773462799E-2</v>
      </c>
      <c r="R78" s="971">
        <v>0</v>
      </c>
      <c r="S78" s="971">
        <v>9.7087378640776708E-3</v>
      </c>
      <c r="T78" s="971">
        <v>0</v>
      </c>
      <c r="U78" s="971">
        <v>0</v>
      </c>
      <c r="V78" s="971">
        <v>0</v>
      </c>
      <c r="X78" s="971">
        <f t="shared" si="22"/>
        <v>47.152103559870497</v>
      </c>
      <c r="Y78" s="971">
        <f t="shared" si="22"/>
        <v>0</v>
      </c>
      <c r="Z78" s="971">
        <f t="shared" si="23"/>
        <v>24.077669902912632</v>
      </c>
      <c r="AA78" s="971">
        <f t="shared" si="23"/>
        <v>0</v>
      </c>
      <c r="AB78" s="971">
        <f t="shared" si="24"/>
        <v>6.0194174757281429</v>
      </c>
      <c r="AC78" s="971">
        <f t="shared" si="24"/>
        <v>0</v>
      </c>
      <c r="AD78" s="971">
        <f t="shared" si="25"/>
        <v>5.0161812297734674</v>
      </c>
      <c r="AE78" s="971">
        <f t="shared" si="25"/>
        <v>0</v>
      </c>
      <c r="AF78" s="971">
        <f t="shared" si="26"/>
        <v>3.0097087378640781</v>
      </c>
      <c r="AG78" s="971">
        <f t="shared" si="26"/>
        <v>0</v>
      </c>
      <c r="AH78" s="971">
        <f t="shared" si="27"/>
        <v>0</v>
      </c>
      <c r="AI78" s="971">
        <f t="shared" si="27"/>
        <v>0</v>
      </c>
      <c r="AL78" s="971">
        <v>0</v>
      </c>
      <c r="AM78" s="971">
        <v>0</v>
      </c>
      <c r="AO78">
        <f t="shared" si="28"/>
        <v>0</v>
      </c>
      <c r="AP78">
        <f t="shared" si="28"/>
        <v>0</v>
      </c>
      <c r="AS78" s="972">
        <v>1.6129032258064498E-2</v>
      </c>
      <c r="AT78" s="972">
        <v>0</v>
      </c>
      <c r="AU78" s="972">
        <f t="shared" si="29"/>
        <v>-8.3870967741935504E-2</v>
      </c>
      <c r="AV78" s="987">
        <f t="shared" si="29"/>
        <v>-0.1</v>
      </c>
      <c r="AX78">
        <f t="shared" si="30"/>
        <v>0</v>
      </c>
      <c r="AY78">
        <f t="shared" si="30"/>
        <v>0</v>
      </c>
      <c r="BA78" s="971">
        <v>3.3003300330033004E-3</v>
      </c>
      <c r="BC78">
        <f t="shared" si="31"/>
        <v>1.023102310231023</v>
      </c>
      <c r="BF78">
        <v>0</v>
      </c>
      <c r="BG78" s="971"/>
      <c r="BK78" s="1240">
        <v>1.6129032258064498E-2</v>
      </c>
      <c r="BL78" s="1240">
        <v>0</v>
      </c>
    </row>
    <row r="79" spans="1:64" x14ac:dyDescent="0.2">
      <c r="A79" s="968" t="s">
        <v>114</v>
      </c>
      <c r="B79" s="969">
        <v>4177</v>
      </c>
      <c r="C79" s="970">
        <f>VLOOKUP($B79,AWPU!$B:$L,9,FALSE)</f>
        <v>82.5</v>
      </c>
      <c r="D79" s="970">
        <f>VLOOKUP(B79,AWPU!B:L,10,FALSE)+VLOOKUP('2015 Factor % to units'!B79,AWPU!B:L,11,FALSE)</f>
        <v>617</v>
      </c>
      <c r="E79" s="971">
        <v>0.62843295638126007</v>
      </c>
      <c r="F79" s="971">
        <v>0.62843295638126007</v>
      </c>
      <c r="G79" s="971">
        <f t="shared" si="21"/>
        <v>51.845718901453957</v>
      </c>
      <c r="H79" s="971">
        <f t="shared" si="21"/>
        <v>387.74313408723748</v>
      </c>
      <c r="K79" s="971">
        <v>0.1</v>
      </c>
      <c r="L79" s="971">
        <v>1.81543116490166E-2</v>
      </c>
      <c r="M79" s="971">
        <v>0.266666666666667</v>
      </c>
      <c r="N79" s="971">
        <v>0.172465960665658</v>
      </c>
      <c r="O79" s="971">
        <v>0.33333333333333298</v>
      </c>
      <c r="P79" s="971">
        <v>0.31316187594553702</v>
      </c>
      <c r="Q79" s="971">
        <v>0.16666666666666699</v>
      </c>
      <c r="R79" s="971">
        <v>0.24962178517397901</v>
      </c>
      <c r="S79" s="971">
        <v>0</v>
      </c>
      <c r="T79" s="971">
        <v>0.101361573373676</v>
      </c>
      <c r="U79" s="971">
        <v>3.3333333333333298E-2</v>
      </c>
      <c r="V79" s="971">
        <v>7.5642965204235996E-2</v>
      </c>
      <c r="X79" s="971">
        <f t="shared" si="22"/>
        <v>8.25</v>
      </c>
      <c r="Y79" s="971">
        <f t="shared" si="22"/>
        <v>11.201210287443242</v>
      </c>
      <c r="Z79" s="971">
        <f t="shared" si="23"/>
        <v>22.000000000000028</v>
      </c>
      <c r="AA79" s="971">
        <f t="shared" si="23"/>
        <v>106.41149773071099</v>
      </c>
      <c r="AB79" s="971">
        <f t="shared" si="24"/>
        <v>27.499999999999972</v>
      </c>
      <c r="AC79" s="971">
        <f t="shared" si="24"/>
        <v>193.22087745839633</v>
      </c>
      <c r="AD79" s="971">
        <f t="shared" si="25"/>
        <v>13.750000000000027</v>
      </c>
      <c r="AE79" s="971">
        <f t="shared" si="25"/>
        <v>154.01664145234506</v>
      </c>
      <c r="AF79" s="971">
        <f t="shared" si="26"/>
        <v>0</v>
      </c>
      <c r="AG79" s="971">
        <f t="shared" si="26"/>
        <v>62.540090771558091</v>
      </c>
      <c r="AH79" s="971">
        <f t="shared" si="27"/>
        <v>2.7499999999999969</v>
      </c>
      <c r="AI79" s="971">
        <f t="shared" si="27"/>
        <v>46.671709531013612</v>
      </c>
      <c r="AL79" s="971">
        <v>0.875</v>
      </c>
      <c r="AM79" s="971">
        <v>0.22605965463108299</v>
      </c>
      <c r="AO79">
        <f t="shared" si="28"/>
        <v>72.1875</v>
      </c>
      <c r="AP79">
        <f t="shared" si="28"/>
        <v>139.47880690737821</v>
      </c>
      <c r="AS79" s="972">
        <v>0</v>
      </c>
      <c r="AT79" s="972">
        <v>0.22356495468277901</v>
      </c>
      <c r="AU79" s="972">
        <f t="shared" si="29"/>
        <v>-0.1</v>
      </c>
      <c r="AV79" s="987">
        <f t="shared" si="29"/>
        <v>0.123564954682779</v>
      </c>
      <c r="AX79">
        <f t="shared" si="30"/>
        <v>0</v>
      </c>
      <c r="AY79">
        <f t="shared" si="30"/>
        <v>76.23957703927465</v>
      </c>
      <c r="BA79" s="971">
        <v>1.1308562197092083E-2</v>
      </c>
      <c r="BC79">
        <f>BA79*(D79+C79)</f>
        <v>7.9103392568659121</v>
      </c>
      <c r="BF79">
        <v>0.57659574468085095</v>
      </c>
      <c r="BG79" s="971">
        <f>BF79*D79</f>
        <v>355.75957446808502</v>
      </c>
      <c r="BK79" s="1240">
        <v>0</v>
      </c>
      <c r="BL79" s="1240">
        <v>0.22356495468277901</v>
      </c>
    </row>
    <row r="80" spans="1:64" x14ac:dyDescent="0.2">
      <c r="A80" s="968" t="s">
        <v>65</v>
      </c>
      <c r="B80" s="969">
        <v>3546</v>
      </c>
      <c r="C80" s="970">
        <f>VLOOKUP($B80,AWPU!$B:$L,9,FALSE)</f>
        <v>546</v>
      </c>
      <c r="D80" s="970">
        <f>VLOOKUP(B80,AWPU!B:L,10,FALSE)+VLOOKUP('2015 Factor % to units'!B80,AWPU!B:L,11,FALSE)</f>
        <v>0</v>
      </c>
      <c r="E80" s="971">
        <v>0.39741219963031421</v>
      </c>
      <c r="F80" s="971">
        <v>0</v>
      </c>
      <c r="G80" s="971">
        <f t="shared" si="21"/>
        <v>216.98706099815155</v>
      </c>
      <c r="H80" s="971">
        <f t="shared" si="21"/>
        <v>0</v>
      </c>
      <c r="K80" s="971">
        <v>9.5412844036697295E-2</v>
      </c>
      <c r="L80" s="971">
        <v>0</v>
      </c>
      <c r="M80" s="971">
        <v>3.6697247706421999E-3</v>
      </c>
      <c r="N80" s="971">
        <v>0</v>
      </c>
      <c r="O80" s="971">
        <v>0.111926605504587</v>
      </c>
      <c r="P80" s="971">
        <v>0</v>
      </c>
      <c r="Q80" s="971">
        <v>0.31559633027522899</v>
      </c>
      <c r="R80" s="971">
        <v>0</v>
      </c>
      <c r="S80" s="971">
        <v>1.8348623853211E-2</v>
      </c>
      <c r="T80" s="971">
        <v>0</v>
      </c>
      <c r="U80" s="971">
        <v>0.37247706422018401</v>
      </c>
      <c r="V80" s="971">
        <v>0</v>
      </c>
      <c r="X80" s="971">
        <f t="shared" si="22"/>
        <v>52.095412844036723</v>
      </c>
      <c r="Y80" s="971">
        <f t="shared" si="22"/>
        <v>0</v>
      </c>
      <c r="Z80" s="971">
        <f t="shared" si="23"/>
        <v>2.0036697247706412</v>
      </c>
      <c r="AA80" s="971">
        <f t="shared" si="23"/>
        <v>0</v>
      </c>
      <c r="AB80" s="971">
        <f t="shared" si="24"/>
        <v>61.1119266055045</v>
      </c>
      <c r="AC80" s="971">
        <f t="shared" si="24"/>
        <v>0</v>
      </c>
      <c r="AD80" s="971">
        <f t="shared" si="25"/>
        <v>172.31559633027501</v>
      </c>
      <c r="AE80" s="971">
        <f t="shared" si="25"/>
        <v>0</v>
      </c>
      <c r="AF80" s="971">
        <f t="shared" si="26"/>
        <v>10.018348623853205</v>
      </c>
      <c r="AG80" s="971">
        <f t="shared" si="26"/>
        <v>0</v>
      </c>
      <c r="AH80" s="971">
        <f t="shared" si="27"/>
        <v>203.37247706422048</v>
      </c>
      <c r="AI80" s="971">
        <f t="shared" si="27"/>
        <v>0</v>
      </c>
      <c r="AL80" s="971">
        <v>0.217582417582418</v>
      </c>
      <c r="AM80" s="971">
        <v>0</v>
      </c>
      <c r="AO80">
        <f t="shared" si="28"/>
        <v>118.80000000000022</v>
      </c>
      <c r="AP80">
        <f t="shared" si="28"/>
        <v>0</v>
      </c>
      <c r="AS80" s="972">
        <v>9.8901098901098897E-2</v>
      </c>
      <c r="AT80" s="972">
        <v>0</v>
      </c>
      <c r="AU80" s="972">
        <f t="shared" si="29"/>
        <v>-1.0989010989011089E-3</v>
      </c>
      <c r="AV80" s="987">
        <f t="shared" si="29"/>
        <v>-0.1</v>
      </c>
      <c r="AX80">
        <f t="shared" si="30"/>
        <v>0</v>
      </c>
      <c r="AY80">
        <f t="shared" si="30"/>
        <v>0</v>
      </c>
      <c r="BA80" s="971">
        <v>3.6968576709796672E-3</v>
      </c>
      <c r="BC80">
        <f>BA80*C80</f>
        <v>2.0184842883548981</v>
      </c>
      <c r="BF80">
        <v>0</v>
      </c>
      <c r="BG80" s="971"/>
      <c r="BK80" s="1240">
        <v>9.8901098901098897E-2</v>
      </c>
      <c r="BL80" s="1240">
        <v>0</v>
      </c>
    </row>
    <row r="81" spans="1:64" x14ac:dyDescent="0.2">
      <c r="A81" s="968" t="s">
        <v>109</v>
      </c>
      <c r="B81" s="969">
        <v>3530</v>
      </c>
      <c r="C81" s="970">
        <f>VLOOKUP($B81,AWPU!$B:$L,9,FALSE)</f>
        <v>317</v>
      </c>
      <c r="D81" s="970">
        <f>VLOOKUP(B81,AWPU!B:L,10,FALSE)+VLOOKUP('2015 Factor % to units'!B81,AWPU!B:L,11,FALSE)</f>
        <v>0</v>
      </c>
      <c r="E81" s="971">
        <v>4.2622950819672129E-2</v>
      </c>
      <c r="F81" s="971">
        <v>0</v>
      </c>
      <c r="G81" s="971">
        <f t="shared" si="21"/>
        <v>13.511475409836065</v>
      </c>
      <c r="H81" s="971">
        <f t="shared" si="21"/>
        <v>0</v>
      </c>
      <c r="K81" s="971">
        <v>9.5541401273885294E-3</v>
      </c>
      <c r="L81" s="971">
        <v>0</v>
      </c>
      <c r="M81" s="971">
        <v>8.5987261146496796E-2</v>
      </c>
      <c r="N81" s="971">
        <v>0</v>
      </c>
      <c r="O81" s="971">
        <v>3.1847133757961797E-2</v>
      </c>
      <c r="P81" s="971">
        <v>0</v>
      </c>
      <c r="Q81" s="971">
        <v>0</v>
      </c>
      <c r="R81" s="971">
        <v>0</v>
      </c>
      <c r="S81" s="971">
        <v>3.1847133757961798E-3</v>
      </c>
      <c r="T81" s="971">
        <v>0</v>
      </c>
      <c r="U81" s="971">
        <v>0</v>
      </c>
      <c r="V81" s="971">
        <v>0</v>
      </c>
      <c r="X81" s="971">
        <f t="shared" si="22"/>
        <v>3.0286624203821639</v>
      </c>
      <c r="Y81" s="971">
        <f t="shared" si="22"/>
        <v>0</v>
      </c>
      <c r="Z81" s="971">
        <f t="shared" si="23"/>
        <v>27.257961783439484</v>
      </c>
      <c r="AA81" s="971">
        <f t="shared" si="23"/>
        <v>0</v>
      </c>
      <c r="AB81" s="971">
        <f t="shared" si="24"/>
        <v>10.09554140127389</v>
      </c>
      <c r="AC81" s="971">
        <f t="shared" si="24"/>
        <v>0</v>
      </c>
      <c r="AD81" s="971">
        <f t="shared" si="25"/>
        <v>0</v>
      </c>
      <c r="AE81" s="971">
        <f t="shared" si="25"/>
        <v>0</v>
      </c>
      <c r="AF81" s="971">
        <f t="shared" si="26"/>
        <v>1.0095541401273891</v>
      </c>
      <c r="AG81" s="971">
        <f t="shared" si="26"/>
        <v>0</v>
      </c>
      <c r="AH81" s="971">
        <f t="shared" si="27"/>
        <v>0</v>
      </c>
      <c r="AI81" s="971">
        <f t="shared" si="27"/>
        <v>0</v>
      </c>
      <c r="AL81" s="971">
        <v>3.8461538461538498E-3</v>
      </c>
      <c r="AM81" s="971">
        <v>0</v>
      </c>
      <c r="AO81">
        <f t="shared" si="28"/>
        <v>1.2192307692307705</v>
      </c>
      <c r="AP81">
        <f t="shared" si="28"/>
        <v>0</v>
      </c>
      <c r="AS81" s="972">
        <v>2.5236593059936901E-2</v>
      </c>
      <c r="AT81" s="972">
        <v>0</v>
      </c>
      <c r="AU81" s="972">
        <f t="shared" si="29"/>
        <v>-7.4763406940063101E-2</v>
      </c>
      <c r="AV81" s="987">
        <f t="shared" si="29"/>
        <v>-0.1</v>
      </c>
      <c r="AX81">
        <f t="shared" si="30"/>
        <v>0</v>
      </c>
      <c r="AY81">
        <f t="shared" si="30"/>
        <v>0</v>
      </c>
      <c r="BA81" s="971">
        <v>6.5573770491803279E-3</v>
      </c>
      <c r="BC81">
        <f>BA81*C81</f>
        <v>2.0786885245901638</v>
      </c>
      <c r="BF81">
        <v>0</v>
      </c>
      <c r="BG81" s="971"/>
      <c r="BK81" s="1240">
        <v>2.5236593059936901E-2</v>
      </c>
      <c r="BL81" s="1240">
        <v>0</v>
      </c>
    </row>
    <row r="82" spans="1:64" x14ac:dyDescent="0.2">
      <c r="A82" s="990" t="s">
        <v>74</v>
      </c>
      <c r="B82" s="991">
        <v>5412</v>
      </c>
      <c r="C82" s="970">
        <f>VLOOKUP($B82,AWPU!$B:$L,9,FALSE)</f>
        <v>0</v>
      </c>
      <c r="D82" s="970">
        <f>VLOOKUP(B82,AWPU!B:L,10,FALSE)+VLOOKUP('2015 Factor % to units'!B82,AWPU!B:L,11,FALSE)</f>
        <v>1257</v>
      </c>
      <c r="E82" s="971">
        <v>0</v>
      </c>
      <c r="F82" s="971">
        <v>0.23932312651087834</v>
      </c>
      <c r="G82" s="971">
        <f t="shared" si="21"/>
        <v>0</v>
      </c>
      <c r="H82" s="971">
        <f t="shared" si="21"/>
        <v>300.82917002417406</v>
      </c>
      <c r="K82" s="971">
        <v>0</v>
      </c>
      <c r="L82" s="971">
        <v>0.156847133757962</v>
      </c>
      <c r="M82" s="971">
        <v>0</v>
      </c>
      <c r="N82" s="971">
        <v>0.17197452229299401</v>
      </c>
      <c r="O82" s="971">
        <v>0</v>
      </c>
      <c r="P82" s="971">
        <v>9.2356687898089193E-2</v>
      </c>
      <c r="Q82" s="971">
        <v>0</v>
      </c>
      <c r="R82" s="971">
        <v>1.7515923566879001E-2</v>
      </c>
      <c r="S82" s="971">
        <v>0</v>
      </c>
      <c r="T82" s="971">
        <v>1.8312101910828001E-2</v>
      </c>
      <c r="U82" s="971">
        <v>0</v>
      </c>
      <c r="V82" s="971">
        <v>3.9808917197452203E-3</v>
      </c>
      <c r="X82" s="971">
        <f t="shared" si="22"/>
        <v>0</v>
      </c>
      <c r="Y82" s="971">
        <f t="shared" si="22"/>
        <v>197.15684713375822</v>
      </c>
      <c r="Z82" s="971">
        <f t="shared" si="23"/>
        <v>0</v>
      </c>
      <c r="AA82" s="971">
        <f t="shared" si="23"/>
        <v>216.17197452229348</v>
      </c>
      <c r="AB82" s="971">
        <f t="shared" si="24"/>
        <v>0</v>
      </c>
      <c r="AC82" s="971">
        <f t="shared" si="24"/>
        <v>116.09235668789812</v>
      </c>
      <c r="AD82" s="971">
        <f t="shared" si="25"/>
        <v>0</v>
      </c>
      <c r="AE82" s="971">
        <f t="shared" si="25"/>
        <v>22.017515923566904</v>
      </c>
      <c r="AF82" s="971">
        <f t="shared" si="26"/>
        <v>0</v>
      </c>
      <c r="AG82" s="971">
        <f t="shared" si="26"/>
        <v>23.018312101910798</v>
      </c>
      <c r="AH82" s="971">
        <f t="shared" si="27"/>
        <v>0</v>
      </c>
      <c r="AI82" s="971">
        <f t="shared" si="27"/>
        <v>5.0039808917197419</v>
      </c>
      <c r="AL82" s="971">
        <v>0</v>
      </c>
      <c r="AM82" s="971">
        <v>3.9840637450199202E-3</v>
      </c>
      <c r="AO82">
        <f t="shared" si="28"/>
        <v>0</v>
      </c>
      <c r="AP82">
        <f t="shared" si="28"/>
        <v>5.0079681274900398</v>
      </c>
      <c r="AS82" s="972">
        <v>0</v>
      </c>
      <c r="AT82" s="972">
        <v>1.9888623707239501E-2</v>
      </c>
      <c r="AU82" s="972">
        <f t="shared" si="29"/>
        <v>-0.1</v>
      </c>
      <c r="AV82" s="987">
        <f t="shared" si="29"/>
        <v>-8.0111376292760508E-2</v>
      </c>
      <c r="AX82">
        <f t="shared" si="30"/>
        <v>0</v>
      </c>
      <c r="AY82">
        <f t="shared" si="30"/>
        <v>0</v>
      </c>
      <c r="BA82" s="971">
        <v>3.2232070910556002E-3</v>
      </c>
      <c r="BC82">
        <f>BA82*D82</f>
        <v>4.0515713134568898</v>
      </c>
      <c r="BF82">
        <v>0.21742738589211599</v>
      </c>
      <c r="BG82" s="971">
        <f>BF82*D82</f>
        <v>273.3062240663898</v>
      </c>
      <c r="BK82" s="1240">
        <v>0</v>
      </c>
      <c r="BL82" s="1240">
        <v>1.9888623707239501E-2</v>
      </c>
    </row>
    <row r="83" spans="1:64" x14ac:dyDescent="0.2">
      <c r="A83" s="990" t="s">
        <v>1033</v>
      </c>
      <c r="B83" s="991">
        <v>5414</v>
      </c>
      <c r="C83" s="970">
        <f>VLOOKUP($B83,AWPU!$B:$L,9,FALSE)</f>
        <v>0</v>
      </c>
      <c r="D83" s="970">
        <f>VLOOKUP(B83,AWPU!B:L,10,FALSE)+VLOOKUP('2015 Factor % to units'!B83,AWPU!B:L,11,FALSE)</f>
        <v>1041</v>
      </c>
      <c r="E83" s="971">
        <v>0</v>
      </c>
      <c r="F83" s="971">
        <v>0.19121197489135683</v>
      </c>
      <c r="G83" s="971">
        <f t="shared" si="21"/>
        <v>0</v>
      </c>
      <c r="H83" s="971">
        <f t="shared" si="21"/>
        <v>199.05166586190245</v>
      </c>
      <c r="K83" s="971">
        <v>0</v>
      </c>
      <c r="L83" s="971">
        <v>3.8899430740038002E-2</v>
      </c>
      <c r="M83" s="971">
        <v>0</v>
      </c>
      <c r="N83" s="971">
        <v>8.9184060721062594E-2</v>
      </c>
      <c r="O83" s="971">
        <v>0</v>
      </c>
      <c r="P83" s="971">
        <v>0.104364326375712</v>
      </c>
      <c r="Q83" s="971">
        <v>0</v>
      </c>
      <c r="R83" s="971">
        <v>3.1309297912713502E-2</v>
      </c>
      <c r="S83" s="971">
        <v>0</v>
      </c>
      <c r="T83" s="971">
        <v>3.7950664136622403E-2</v>
      </c>
      <c r="U83" s="971">
        <v>0</v>
      </c>
      <c r="V83" s="971">
        <v>1.04364326375712E-2</v>
      </c>
      <c r="X83" s="971">
        <f t="shared" si="22"/>
        <v>0</v>
      </c>
      <c r="Y83" s="971">
        <f t="shared" si="22"/>
        <v>40.494307400379562</v>
      </c>
      <c r="Z83" s="971">
        <f t="shared" si="23"/>
        <v>0</v>
      </c>
      <c r="AA83" s="971">
        <f t="shared" si="23"/>
        <v>92.84060721062616</v>
      </c>
      <c r="AB83" s="971">
        <f t="shared" si="24"/>
        <v>0</v>
      </c>
      <c r="AC83" s="971">
        <f t="shared" si="24"/>
        <v>108.64326375711619</v>
      </c>
      <c r="AD83" s="971">
        <f t="shared" si="25"/>
        <v>0</v>
      </c>
      <c r="AE83" s="971">
        <f t="shared" si="25"/>
        <v>32.592979127134754</v>
      </c>
      <c r="AF83" s="971">
        <f t="shared" si="26"/>
        <v>0</v>
      </c>
      <c r="AG83" s="971">
        <f t="shared" si="26"/>
        <v>39.506641366223924</v>
      </c>
      <c r="AH83" s="971">
        <f t="shared" si="27"/>
        <v>0</v>
      </c>
      <c r="AI83" s="971">
        <f t="shared" si="27"/>
        <v>10.864326375711618</v>
      </c>
      <c r="AL83" s="971">
        <v>0</v>
      </c>
      <c r="AM83" s="971">
        <v>2.1883920076117998E-2</v>
      </c>
      <c r="AO83">
        <f t="shared" si="28"/>
        <v>0</v>
      </c>
      <c r="AP83">
        <f t="shared" si="28"/>
        <v>22.781160799238837</v>
      </c>
      <c r="AS83" s="972">
        <v>0</v>
      </c>
      <c r="AT83" s="972">
        <v>4.3601895734597197E-2</v>
      </c>
      <c r="AU83" s="972">
        <f t="shared" si="29"/>
        <v>-0.1</v>
      </c>
      <c r="AV83" s="987">
        <f t="shared" si="29"/>
        <v>-5.6398104265402808E-2</v>
      </c>
      <c r="AX83">
        <f t="shared" si="30"/>
        <v>0</v>
      </c>
      <c r="AY83">
        <f t="shared" si="30"/>
        <v>0</v>
      </c>
      <c r="BA83" s="971">
        <v>1.9305019305019305E-3</v>
      </c>
      <c r="BC83">
        <f>BA83*D83</f>
        <v>2.0096525096525095</v>
      </c>
      <c r="BF83">
        <v>0.161007667031763</v>
      </c>
      <c r="BG83" s="971">
        <f>BF83*D83</f>
        <v>167.60898138006527</v>
      </c>
      <c r="BK83" s="1240">
        <v>0</v>
      </c>
      <c r="BL83" s="1240">
        <v>4.3601895734597197E-2</v>
      </c>
    </row>
    <row r="84" spans="1:64" x14ac:dyDescent="0.2">
      <c r="A84" s="968" t="s">
        <v>67</v>
      </c>
      <c r="B84" s="969">
        <v>2459</v>
      </c>
      <c r="C84" s="970">
        <f>VLOOKUP($B84,AWPU!$B:$L,9,FALSE)</f>
        <v>390</v>
      </c>
      <c r="D84" s="970">
        <f>VLOOKUP(B84,AWPU!B:L,10,FALSE)+VLOOKUP('2015 Factor % to units'!B84,AWPU!B:L,11,FALSE)</f>
        <v>0</v>
      </c>
      <c r="E84" s="971">
        <v>9.2783505154639179E-2</v>
      </c>
      <c r="F84" s="971">
        <v>0</v>
      </c>
      <c r="G84" s="971">
        <f t="shared" si="21"/>
        <v>36.185567010309278</v>
      </c>
      <c r="H84" s="971">
        <f t="shared" si="21"/>
        <v>0</v>
      </c>
      <c r="K84" s="971">
        <v>1.2820512820512799E-2</v>
      </c>
      <c r="L84" s="971">
        <v>0</v>
      </c>
      <c r="M84" s="971">
        <v>2.0512820512820499E-2</v>
      </c>
      <c r="N84" s="971">
        <v>0</v>
      </c>
      <c r="O84" s="971">
        <v>1.2820512820512799E-2</v>
      </c>
      <c r="P84" s="971">
        <v>0</v>
      </c>
      <c r="Q84" s="971">
        <v>0</v>
      </c>
      <c r="R84" s="971">
        <v>0</v>
      </c>
      <c r="S84" s="971">
        <v>0</v>
      </c>
      <c r="T84" s="971">
        <v>0</v>
      </c>
      <c r="U84" s="971">
        <v>0</v>
      </c>
      <c r="V84" s="971">
        <v>0</v>
      </c>
      <c r="X84" s="971">
        <f t="shared" si="22"/>
        <v>4.999999999999992</v>
      </c>
      <c r="Y84" s="971">
        <f t="shared" si="22"/>
        <v>0</v>
      </c>
      <c r="Z84" s="971">
        <f t="shared" si="23"/>
        <v>7.9999999999999947</v>
      </c>
      <c r="AA84" s="971">
        <f t="shared" si="23"/>
        <v>0</v>
      </c>
      <c r="AB84" s="971">
        <f t="shared" si="24"/>
        <v>4.999999999999992</v>
      </c>
      <c r="AC84" s="971">
        <f t="shared" si="24"/>
        <v>0</v>
      </c>
      <c r="AD84" s="971">
        <f t="shared" si="25"/>
        <v>0</v>
      </c>
      <c r="AE84" s="971">
        <f t="shared" si="25"/>
        <v>0</v>
      </c>
      <c r="AF84" s="971">
        <f t="shared" si="26"/>
        <v>0</v>
      </c>
      <c r="AG84" s="971">
        <f t="shared" si="26"/>
        <v>0</v>
      </c>
      <c r="AH84" s="971">
        <f t="shared" si="27"/>
        <v>0</v>
      </c>
      <c r="AI84" s="971">
        <f t="shared" si="27"/>
        <v>0</v>
      </c>
      <c r="AL84" s="971">
        <v>4.7761194029850698E-2</v>
      </c>
      <c r="AM84" s="971">
        <v>0</v>
      </c>
      <c r="AO84">
        <f t="shared" si="28"/>
        <v>18.626865671641774</v>
      </c>
      <c r="AP84">
        <f t="shared" si="28"/>
        <v>0</v>
      </c>
      <c r="AS84" s="972">
        <v>5.6410256410256397E-2</v>
      </c>
      <c r="AT84" s="972">
        <v>0</v>
      </c>
      <c r="AU84" s="972">
        <f t="shared" si="29"/>
        <v>-4.3589743589743608E-2</v>
      </c>
      <c r="AV84" s="987">
        <f t="shared" si="29"/>
        <v>-0.1</v>
      </c>
      <c r="AX84">
        <f t="shared" si="30"/>
        <v>0</v>
      </c>
      <c r="AY84">
        <f t="shared" si="30"/>
        <v>0</v>
      </c>
      <c r="BA84" s="971">
        <v>5.1546391752577319E-3</v>
      </c>
      <c r="BC84">
        <f>BA84*C84</f>
        <v>2.0103092783505154</v>
      </c>
      <c r="BF84">
        <v>0</v>
      </c>
      <c r="BG84" s="971"/>
      <c r="BK84" s="1240">
        <v>5.6410256410256397E-2</v>
      </c>
      <c r="BL84" s="1240">
        <v>0</v>
      </c>
    </row>
    <row r="85" spans="1:64" x14ac:dyDescent="0.2">
      <c r="A85" s="992" t="s">
        <v>96</v>
      </c>
      <c r="B85" s="993">
        <v>2007</v>
      </c>
      <c r="C85" s="970">
        <f>VLOOKUP($B85,AWPU!$B:$L,9,FALSE)</f>
        <v>304</v>
      </c>
      <c r="D85" s="970">
        <f>VLOOKUP(B85,AWPU!B:L,10,FALSE)+VLOOKUP('2015 Factor % to units'!B85,AWPU!B:L,11,FALSE)</f>
        <v>0</v>
      </c>
      <c r="E85" s="971">
        <v>0.56060606060606055</v>
      </c>
      <c r="F85" s="971">
        <v>0</v>
      </c>
      <c r="G85" s="971">
        <f t="shared" si="21"/>
        <v>170.42424242424241</v>
      </c>
      <c r="H85" s="971">
        <f t="shared" si="21"/>
        <v>0</v>
      </c>
      <c r="K85" s="971">
        <v>9.93377483443709E-3</v>
      </c>
      <c r="L85" s="971">
        <v>0</v>
      </c>
      <c r="M85" s="971">
        <v>7.2847682119205295E-2</v>
      </c>
      <c r="N85" s="971">
        <v>0</v>
      </c>
      <c r="O85" s="971">
        <v>0.105960264900662</v>
      </c>
      <c r="P85" s="971">
        <v>0</v>
      </c>
      <c r="Q85" s="971">
        <v>0.443708609271523</v>
      </c>
      <c r="R85" s="971">
        <v>0</v>
      </c>
      <c r="S85" s="971">
        <v>0.19205298013245001</v>
      </c>
      <c r="T85" s="971">
        <v>0</v>
      </c>
      <c r="U85" s="971">
        <v>5.9602649006622502E-2</v>
      </c>
      <c r="V85" s="971">
        <v>0</v>
      </c>
      <c r="X85" s="971">
        <f t="shared" si="22"/>
        <v>3.0198675496688754</v>
      </c>
      <c r="Y85" s="971">
        <f t="shared" si="22"/>
        <v>0</v>
      </c>
      <c r="Z85" s="971">
        <f t="shared" si="23"/>
        <v>22.14569536423841</v>
      </c>
      <c r="AA85" s="971">
        <f t="shared" si="23"/>
        <v>0</v>
      </c>
      <c r="AB85" s="971">
        <f t="shared" si="24"/>
        <v>32.211920529801247</v>
      </c>
      <c r="AC85" s="971">
        <f t="shared" si="24"/>
        <v>0</v>
      </c>
      <c r="AD85" s="971">
        <f t="shared" si="25"/>
        <v>134.88741721854299</v>
      </c>
      <c r="AE85" s="971">
        <f t="shared" si="25"/>
        <v>0</v>
      </c>
      <c r="AF85" s="971">
        <f t="shared" si="26"/>
        <v>58.384105960264804</v>
      </c>
      <c r="AG85" s="971">
        <f t="shared" si="26"/>
        <v>0</v>
      </c>
      <c r="AH85" s="971">
        <f t="shared" si="27"/>
        <v>18.119205298013242</v>
      </c>
      <c r="AI85" s="971">
        <f t="shared" si="27"/>
        <v>0</v>
      </c>
      <c r="AL85" s="971">
        <v>0.145669291338583</v>
      </c>
      <c r="AM85" s="971">
        <v>0</v>
      </c>
      <c r="AO85">
        <f t="shared" si="28"/>
        <v>44.283464566929233</v>
      </c>
      <c r="AP85">
        <f t="shared" si="28"/>
        <v>0</v>
      </c>
      <c r="AS85" s="972">
        <v>0.144736842105263</v>
      </c>
      <c r="AT85" s="972">
        <v>0</v>
      </c>
      <c r="AU85" s="972">
        <f t="shared" si="29"/>
        <v>4.4736842105262992E-2</v>
      </c>
      <c r="AV85" s="987">
        <f t="shared" si="29"/>
        <v>-0.1</v>
      </c>
      <c r="AX85">
        <f t="shared" si="30"/>
        <v>13.59999999999995</v>
      </c>
      <c r="AY85">
        <f t="shared" si="30"/>
        <v>0</v>
      </c>
      <c r="BA85" s="971">
        <v>7.575757575757576E-3</v>
      </c>
      <c r="BC85">
        <f>BA85*C85</f>
        <v>2.3030303030303032</v>
      </c>
      <c r="BF85">
        <v>0</v>
      </c>
      <c r="BG85" s="971"/>
      <c r="BK85" s="1240">
        <v>0.144736842105263</v>
      </c>
      <c r="BL85" s="1240">
        <v>0</v>
      </c>
    </row>
    <row r="87" spans="1:64" s="995" customFormat="1" x14ac:dyDescent="0.2">
      <c r="A87" s="994" t="s">
        <v>1034</v>
      </c>
      <c r="B87" s="994"/>
      <c r="C87" s="995">
        <f t="shared" ref="C87:AV87" si="32">SUM(C3:C86)</f>
        <v>21738.5</v>
      </c>
      <c r="D87" s="995">
        <f t="shared" si="32"/>
        <v>13106</v>
      </c>
      <c r="E87" s="995">
        <f t="shared" si="32"/>
        <v>23.207256994644865</v>
      </c>
      <c r="F87" s="995">
        <f t="shared" si="32"/>
        <v>4.8490769599787438</v>
      </c>
      <c r="G87" s="995">
        <f t="shared" si="32"/>
        <v>6994.0786423501058</v>
      </c>
      <c r="H87" s="995">
        <f t="shared" si="32"/>
        <v>4386.2630860283516</v>
      </c>
      <c r="I87" s="995">
        <f t="shared" si="32"/>
        <v>0</v>
      </c>
      <c r="J87" s="995">
        <f t="shared" si="32"/>
        <v>0</v>
      </c>
      <c r="K87" s="995">
        <f t="shared" si="32"/>
        <v>4.9892601562276147</v>
      </c>
      <c r="L87" s="995">
        <f t="shared" si="32"/>
        <v>0.90680850073986652</v>
      </c>
      <c r="M87" s="995">
        <f t="shared" si="32"/>
        <v>7.7431535925805077</v>
      </c>
      <c r="N87" s="995">
        <f t="shared" si="32"/>
        <v>1.2039482811003273</v>
      </c>
      <c r="O87" s="995">
        <f t="shared" si="32"/>
        <v>12.773377795160757</v>
      </c>
      <c r="P87" s="995">
        <f t="shared" si="32"/>
        <v>2.1223555196271122</v>
      </c>
      <c r="Q87" s="995">
        <f t="shared" si="32"/>
        <v>9.4444528160509975</v>
      </c>
      <c r="R87" s="995">
        <f t="shared" si="32"/>
        <v>1.4943652017162172</v>
      </c>
      <c r="S87" s="995">
        <f t="shared" si="32"/>
        <v>6.2505864260610151</v>
      </c>
      <c r="T87" s="995">
        <f t="shared" si="32"/>
        <v>1.2411904216612206</v>
      </c>
      <c r="U87" s="995">
        <f t="shared" si="32"/>
        <v>3.7123714044135854</v>
      </c>
      <c r="V87" s="995">
        <f t="shared" si="32"/>
        <v>0.75776098785318291</v>
      </c>
      <c r="W87" s="995">
        <f t="shared" si="32"/>
        <v>0</v>
      </c>
      <c r="X87" s="995">
        <f t="shared" si="32"/>
        <v>1467.5315220171951</v>
      </c>
      <c r="Y87" s="995">
        <f t="shared" si="32"/>
        <v>912.17878100979135</v>
      </c>
      <c r="Z87" s="995">
        <f t="shared" si="32"/>
        <v>2183.3935807851617</v>
      </c>
      <c r="AA87" s="995">
        <f t="shared" si="32"/>
        <v>1186.4262077263993</v>
      </c>
      <c r="AB87" s="995">
        <f t="shared" si="32"/>
        <v>3861.6024041262399</v>
      </c>
      <c r="AC87" s="995">
        <f t="shared" si="32"/>
        <v>2012.5552597767164</v>
      </c>
      <c r="AD87" s="995">
        <f t="shared" si="32"/>
        <v>2837.2413251254397</v>
      </c>
      <c r="AE87" s="995">
        <f t="shared" si="32"/>
        <v>1324.1202152222772</v>
      </c>
      <c r="AF87" s="995">
        <f t="shared" si="32"/>
        <v>1899.629640498239</v>
      </c>
      <c r="AG87" s="995">
        <f t="shared" si="32"/>
        <v>1002.5466838967059</v>
      </c>
      <c r="AH87" s="995">
        <f t="shared" si="32"/>
        <v>1215.1793982415725</v>
      </c>
      <c r="AI87" s="995">
        <f t="shared" si="32"/>
        <v>668.62637639778359</v>
      </c>
      <c r="AJ87" s="995">
        <f t="shared" si="32"/>
        <v>0</v>
      </c>
      <c r="AK87" s="995">
        <f t="shared" si="32"/>
        <v>0</v>
      </c>
      <c r="AL87" s="995">
        <f t="shared" si="32"/>
        <v>11.811408462067309</v>
      </c>
      <c r="AM87" s="995">
        <f t="shared" si="32"/>
        <v>0.6330817864229723</v>
      </c>
      <c r="AN87" s="995">
        <f t="shared" si="32"/>
        <v>0</v>
      </c>
      <c r="AO87" s="995">
        <f t="shared" si="32"/>
        <v>3254.6488409781923</v>
      </c>
      <c r="AP87" s="995">
        <f t="shared" si="32"/>
        <v>518.19975518673937</v>
      </c>
      <c r="AQ87" s="995">
        <f t="shared" si="32"/>
        <v>0</v>
      </c>
      <c r="AR87" s="995">
        <f t="shared" si="32"/>
        <v>0</v>
      </c>
      <c r="AS87" s="996">
        <f t="shared" si="32"/>
        <v>7.3834466978379112</v>
      </c>
      <c r="AT87" s="996">
        <f t="shared" si="32"/>
        <v>1.4808484621769984</v>
      </c>
      <c r="AU87" s="995">
        <f t="shared" si="32"/>
        <v>-0.91655330216208708</v>
      </c>
      <c r="AV87" s="995">
        <f t="shared" si="32"/>
        <v>-6.8191515378229903</v>
      </c>
      <c r="AW87" s="995">
        <f t="shared" ref="AW87:BH87" si="33">SUM(AW3:AW86)</f>
        <v>0</v>
      </c>
      <c r="AX87" s="995">
        <f t="shared" si="33"/>
        <v>756.83692974324356</v>
      </c>
      <c r="AY87" s="995">
        <f t="shared" si="33"/>
        <v>477.4395770392747</v>
      </c>
      <c r="AZ87" s="995">
        <f t="shared" si="33"/>
        <v>0</v>
      </c>
      <c r="BA87" s="995">
        <f t="shared" si="33"/>
        <v>0.27078084857251183</v>
      </c>
      <c r="BB87" s="995">
        <f t="shared" si="33"/>
        <v>0</v>
      </c>
      <c r="BC87" s="995">
        <f t="shared" si="33"/>
        <v>136.51222290814712</v>
      </c>
      <c r="BD87" s="995">
        <f t="shared" si="33"/>
        <v>0</v>
      </c>
      <c r="BE87" s="995">
        <f t="shared" si="33"/>
        <v>0</v>
      </c>
      <c r="BF87" s="995">
        <f t="shared" si="33"/>
        <v>4.0975946720748642</v>
      </c>
      <c r="BG87" s="995">
        <f t="shared" si="33"/>
        <v>3754.4293054072327</v>
      </c>
      <c r="BH87" s="995">
        <f t="shared" si="33"/>
        <v>0</v>
      </c>
      <c r="BK87" s="1242">
        <v>7.3834466978379112</v>
      </c>
      <c r="BL87" s="1242">
        <v>1.4808484621769984</v>
      </c>
    </row>
    <row r="88" spans="1:64" x14ac:dyDescent="0.2">
      <c r="C88" s="970">
        <v>0</v>
      </c>
      <c r="D88" s="971">
        <v>0</v>
      </c>
    </row>
    <row r="89" spans="1:64" x14ac:dyDescent="0.2">
      <c r="C89" s="997"/>
    </row>
    <row r="90" spans="1:64" s="1000" customFormat="1" ht="15" x14ac:dyDescent="0.25">
      <c r="A90" s="998" t="s">
        <v>454</v>
      </c>
      <c r="B90" s="998">
        <v>4000</v>
      </c>
      <c r="C90" s="970">
        <f>VLOOKUP($B90,AWPU!$B:$L,9,FALSE)</f>
        <v>229</v>
      </c>
      <c r="D90" s="970">
        <f>VLOOKUP(B90,AWPU!B:L,10,FALSE)+VLOOKUP('2015 Factor % to units'!B90,AWPU!B:L,11,FALSE)</f>
        <v>0</v>
      </c>
      <c r="E90" s="971">
        <v>0.36277602523659308</v>
      </c>
      <c r="F90" s="971">
        <v>0</v>
      </c>
      <c r="G90" s="999">
        <f>E90*C90</f>
        <v>83.075709779179817</v>
      </c>
      <c r="H90" s="999">
        <f>F90*D90</f>
        <v>0</v>
      </c>
      <c r="K90" s="971">
        <v>2.53164556962025E-2</v>
      </c>
      <c r="L90" s="971">
        <v>0</v>
      </c>
      <c r="M90" s="971">
        <v>0.177215189873418</v>
      </c>
      <c r="N90" s="971">
        <v>0</v>
      </c>
      <c r="O90" s="971">
        <v>0.335443037974684</v>
      </c>
      <c r="P90" s="971">
        <v>0</v>
      </c>
      <c r="Q90" s="971">
        <v>0.30379746835443</v>
      </c>
      <c r="R90" s="971">
        <v>0</v>
      </c>
      <c r="S90" s="971">
        <v>1.8987341772151899E-2</v>
      </c>
      <c r="T90" s="971">
        <v>0</v>
      </c>
      <c r="U90" s="971">
        <v>3.1645569620253201E-2</v>
      </c>
      <c r="V90" s="971">
        <v>0</v>
      </c>
      <c r="X90" s="999">
        <f>K90*C90</f>
        <v>5.7974683544303725</v>
      </c>
      <c r="Y90" s="999">
        <f>L90*D90</f>
        <v>0</v>
      </c>
      <c r="Z90" s="999">
        <f>M90*C90</f>
        <v>40.582278481012722</v>
      </c>
      <c r="AA90" s="999">
        <f>N90*D90</f>
        <v>0</v>
      </c>
      <c r="AB90" s="999">
        <f>O90*C90</f>
        <v>76.816455696202638</v>
      </c>
      <c r="AC90" s="999">
        <f>P90*D90</f>
        <v>0</v>
      </c>
      <c r="AD90" s="999">
        <f>Q90*C90</f>
        <v>69.569620253164473</v>
      </c>
      <c r="AE90" s="999">
        <f>R90*D90</f>
        <v>0</v>
      </c>
      <c r="AF90" s="999">
        <f>S90*C90</f>
        <v>4.3481012658227849</v>
      </c>
      <c r="AG90" s="999">
        <f>T90*D90</f>
        <v>0</v>
      </c>
      <c r="AH90" s="999">
        <f>U90*C90</f>
        <v>7.2468354430379831</v>
      </c>
      <c r="AI90" s="999">
        <f>V90*D90</f>
        <v>0</v>
      </c>
      <c r="AL90" s="971">
        <v>0.69343065693430705</v>
      </c>
      <c r="AM90" s="971">
        <v>0</v>
      </c>
      <c r="AO90" s="22">
        <f>AL90*C90</f>
        <v>158.7956204379563</v>
      </c>
      <c r="AP90" s="22">
        <f>AM90*D90</f>
        <v>0</v>
      </c>
      <c r="AS90" s="972">
        <v>0.12578616352201299</v>
      </c>
      <c r="AT90" s="972">
        <v>0</v>
      </c>
      <c r="AU90" s="972">
        <f t="shared" ref="AU90:AV91" si="34">AS90-10%</f>
        <v>2.5786163522012989E-2</v>
      </c>
      <c r="AV90" s="987">
        <f t="shared" si="34"/>
        <v>-0.1</v>
      </c>
      <c r="AX90">
        <f t="shared" ref="AX90:AY91" si="35">IF(AU90&gt;0,AU90*C90,0)</f>
        <v>5.9050314465409741</v>
      </c>
      <c r="AY90">
        <f t="shared" si="35"/>
        <v>0</v>
      </c>
      <c r="BA90" s="971">
        <v>0</v>
      </c>
      <c r="BC90" s="22">
        <f>BA90*C90</f>
        <v>0</v>
      </c>
      <c r="BF90">
        <v>0</v>
      </c>
      <c r="BG90" s="999">
        <f>BF90*D90</f>
        <v>0</v>
      </c>
      <c r="BK90" s="1000">
        <v>0.12578616352201299</v>
      </c>
      <c r="BL90" s="1000">
        <v>0</v>
      </c>
    </row>
    <row r="91" spans="1:64" s="1000" customFormat="1" ht="15" x14ac:dyDescent="0.25">
      <c r="A91" s="998" t="s">
        <v>453</v>
      </c>
      <c r="B91" s="998">
        <v>6905</v>
      </c>
      <c r="C91" s="970">
        <f>VLOOKUP($B91,AWPU!$B:$L,9,FALSE)</f>
        <v>0</v>
      </c>
      <c r="D91" s="970">
        <f>VLOOKUP(B91,AWPU!B:L,10,FALSE)+VLOOKUP('2015 Factor % to units'!B91,AWPU!B:L,11,FALSE)</f>
        <v>844</v>
      </c>
      <c r="E91" s="971">
        <v>0</v>
      </c>
      <c r="F91" s="971">
        <v>0.28883638511518017</v>
      </c>
      <c r="G91" s="999">
        <f>E91*C91</f>
        <v>0</v>
      </c>
      <c r="H91" s="999">
        <f>F91*D91</f>
        <v>243.77790903721205</v>
      </c>
      <c r="K91" s="971">
        <v>0</v>
      </c>
      <c r="L91" s="971">
        <v>4.7393364928909901E-2</v>
      </c>
      <c r="M91" s="971">
        <v>0</v>
      </c>
      <c r="N91" s="971">
        <v>9.7156398104265407E-2</v>
      </c>
      <c r="O91" s="971">
        <v>0</v>
      </c>
      <c r="P91" s="971">
        <v>0.193127962085308</v>
      </c>
      <c r="Q91" s="971">
        <v>0</v>
      </c>
      <c r="R91" s="971">
        <v>0.161137440758294</v>
      </c>
      <c r="S91" s="971">
        <v>0</v>
      </c>
      <c r="T91" s="971">
        <v>6.3981042654028403E-2</v>
      </c>
      <c r="U91" s="971">
        <v>0</v>
      </c>
      <c r="V91" s="971">
        <v>4.0284360189573501E-2</v>
      </c>
      <c r="X91" s="999">
        <f>K91*C91</f>
        <v>0</v>
      </c>
      <c r="Y91" s="999">
        <f>L91*D91</f>
        <v>39.999999999999957</v>
      </c>
      <c r="Z91" s="999">
        <f>M91*C91</f>
        <v>0</v>
      </c>
      <c r="AA91" s="999">
        <f>N91*D91</f>
        <v>82</v>
      </c>
      <c r="AB91" s="999">
        <f>O91*C91</f>
        <v>0</v>
      </c>
      <c r="AC91" s="999">
        <f>P91*D91</f>
        <v>162.99999999999994</v>
      </c>
      <c r="AD91" s="999">
        <f>Q91*C91</f>
        <v>0</v>
      </c>
      <c r="AE91" s="999">
        <f>R91*D91</f>
        <v>136.00000000000014</v>
      </c>
      <c r="AF91" s="999">
        <f>S91*C91</f>
        <v>0</v>
      </c>
      <c r="AG91" s="999">
        <f>T91*D91</f>
        <v>53.999999999999972</v>
      </c>
      <c r="AH91" s="999">
        <f>U91*C91</f>
        <v>0</v>
      </c>
      <c r="AI91" s="999">
        <f>V91*D91</f>
        <v>34.000000000000036</v>
      </c>
      <c r="AL91" s="971">
        <v>0</v>
      </c>
      <c r="AM91" s="971">
        <v>2.0142180094786698E-2</v>
      </c>
      <c r="AO91" s="22">
        <f>AL91*C91</f>
        <v>0</v>
      </c>
      <c r="AP91" s="22">
        <f>AM91*D91</f>
        <v>16.999999999999975</v>
      </c>
      <c r="AS91" s="972">
        <v>0</v>
      </c>
      <c r="AT91" s="972">
        <v>2.1327014218009501E-2</v>
      </c>
      <c r="AU91" s="972">
        <f t="shared" si="34"/>
        <v>-0.1</v>
      </c>
      <c r="AV91" s="987">
        <f t="shared" si="34"/>
        <v>-7.8672985781990501E-2</v>
      </c>
      <c r="AX91">
        <f t="shared" si="35"/>
        <v>0</v>
      </c>
      <c r="AY91">
        <f t="shared" si="35"/>
        <v>0</v>
      </c>
      <c r="BA91" s="971">
        <v>7.0838252656434475E-3</v>
      </c>
      <c r="BC91" s="22">
        <f>BA91*D91</f>
        <v>5.9787485242030698</v>
      </c>
      <c r="BF91">
        <v>0.16266666666666699</v>
      </c>
      <c r="BG91" s="999">
        <f>BF91*D91</f>
        <v>137.29066666666694</v>
      </c>
      <c r="BK91" s="1000">
        <v>0</v>
      </c>
      <c r="BL91" s="1000">
        <v>2.1327014218009501E-2</v>
      </c>
    </row>
    <row r="92" spans="1:64" x14ac:dyDescent="0.2">
      <c r="C92" s="997"/>
    </row>
    <row r="93" spans="1:64" s="995" customFormat="1" x14ac:dyDescent="0.2">
      <c r="A93" s="994" t="s">
        <v>1035</v>
      </c>
      <c r="B93" s="994" t="s">
        <v>117</v>
      </c>
      <c r="C93" s="995">
        <f>C91+C90+C87</f>
        <v>21967.5</v>
      </c>
      <c r="D93" s="995">
        <f t="shared" ref="D93:BH93" si="36">D91+D90+D87</f>
        <v>13950</v>
      </c>
      <c r="E93" s="1001">
        <f t="shared" si="36"/>
        <v>23.570033019881457</v>
      </c>
      <c r="F93" s="1001">
        <f t="shared" si="36"/>
        <v>5.1379133450939243</v>
      </c>
      <c r="G93" s="995">
        <f t="shared" si="36"/>
        <v>7077.1543521292861</v>
      </c>
      <c r="H93" s="995">
        <f t="shared" si="36"/>
        <v>4630.0409950655639</v>
      </c>
      <c r="I93" s="995">
        <f t="shared" si="36"/>
        <v>0</v>
      </c>
      <c r="J93" s="995">
        <f t="shared" si="36"/>
        <v>0</v>
      </c>
      <c r="K93" s="1001">
        <f t="shared" si="36"/>
        <v>5.0145766119238173</v>
      </c>
      <c r="L93" s="1002">
        <f t="shared" si="36"/>
        <v>0.95420186566877641</v>
      </c>
      <c r="M93" s="1001">
        <f t="shared" si="36"/>
        <v>7.9203687824539255</v>
      </c>
      <c r="N93" s="1002">
        <f t="shared" si="36"/>
        <v>1.3011046792045926</v>
      </c>
      <c r="O93" s="1001">
        <f t="shared" si="36"/>
        <v>13.108820833135441</v>
      </c>
      <c r="P93" s="1002">
        <f t="shared" si="36"/>
        <v>2.3154834817124201</v>
      </c>
      <c r="Q93" s="1001">
        <f t="shared" si="36"/>
        <v>9.7482502844054277</v>
      </c>
      <c r="R93" s="1002">
        <f t="shared" si="36"/>
        <v>1.6555026424745112</v>
      </c>
      <c r="S93" s="1001">
        <f t="shared" si="36"/>
        <v>6.2695737678331671</v>
      </c>
      <c r="T93" s="1002">
        <f t="shared" si="36"/>
        <v>1.305171464315249</v>
      </c>
      <c r="U93" s="1001">
        <f t="shared" si="36"/>
        <v>3.7440169740338387</v>
      </c>
      <c r="V93" s="1002">
        <f t="shared" si="36"/>
        <v>0.7980453480427564</v>
      </c>
      <c r="W93" s="995">
        <f t="shared" si="36"/>
        <v>0</v>
      </c>
      <c r="X93" s="995">
        <f t="shared" si="36"/>
        <v>1473.3289903716254</v>
      </c>
      <c r="Y93" s="995">
        <f t="shared" si="36"/>
        <v>952.17878100979135</v>
      </c>
      <c r="Z93" s="995">
        <f t="shared" si="36"/>
        <v>2223.9758592661742</v>
      </c>
      <c r="AA93" s="995">
        <f t="shared" si="36"/>
        <v>1268.4262077263993</v>
      </c>
      <c r="AB93" s="995">
        <f t="shared" si="36"/>
        <v>3938.4188598224428</v>
      </c>
      <c r="AC93" s="995">
        <f t="shared" si="36"/>
        <v>2175.5552597767164</v>
      </c>
      <c r="AD93" s="995">
        <f t="shared" si="36"/>
        <v>2906.8109453786042</v>
      </c>
      <c r="AE93" s="995">
        <f t="shared" si="36"/>
        <v>1460.1202152222775</v>
      </c>
      <c r="AF93" s="995">
        <f t="shared" si="36"/>
        <v>1903.9777417640619</v>
      </c>
      <c r="AG93" s="995">
        <f t="shared" si="36"/>
        <v>1056.5466838967059</v>
      </c>
      <c r="AH93" s="995">
        <f t="shared" si="36"/>
        <v>1222.4262336846105</v>
      </c>
      <c r="AI93" s="995">
        <f t="shared" si="36"/>
        <v>702.62637639778359</v>
      </c>
      <c r="AJ93" s="995">
        <f t="shared" si="36"/>
        <v>0</v>
      </c>
      <c r="AK93" s="995">
        <f t="shared" si="36"/>
        <v>0</v>
      </c>
      <c r="AL93" s="1001">
        <f t="shared" si="36"/>
        <v>12.504839119001616</v>
      </c>
      <c r="AM93" s="1001">
        <f t="shared" si="36"/>
        <v>0.65322396651775905</v>
      </c>
      <c r="AN93" s="995">
        <f t="shared" si="36"/>
        <v>0</v>
      </c>
      <c r="AO93" s="995">
        <f t="shared" si="36"/>
        <v>3413.4444614161484</v>
      </c>
      <c r="AP93" s="995">
        <f t="shared" si="36"/>
        <v>535.19975518673937</v>
      </c>
      <c r="AQ93" s="995">
        <f t="shared" si="36"/>
        <v>0</v>
      </c>
      <c r="AR93" s="995">
        <f t="shared" si="36"/>
        <v>0</v>
      </c>
      <c r="AS93" s="1003">
        <f t="shared" si="36"/>
        <v>7.5092328613599246</v>
      </c>
      <c r="AT93" s="1003">
        <f t="shared" si="36"/>
        <v>1.5021754763950079</v>
      </c>
      <c r="AU93" s="1003">
        <f t="shared" si="36"/>
        <v>-0.99076713864007404</v>
      </c>
      <c r="AV93" s="1003">
        <f t="shared" si="36"/>
        <v>-6.9978245236049812</v>
      </c>
      <c r="AW93" s="995">
        <f t="shared" si="36"/>
        <v>0</v>
      </c>
      <c r="AX93" s="995">
        <f t="shared" si="36"/>
        <v>762.74196118978455</v>
      </c>
      <c r="AY93" s="995">
        <f t="shared" si="36"/>
        <v>477.4395770392747</v>
      </c>
      <c r="AZ93" s="995">
        <f t="shared" si="36"/>
        <v>0</v>
      </c>
      <c r="BA93" s="1001">
        <f t="shared" si="36"/>
        <v>0.27786467383815527</v>
      </c>
      <c r="BB93" s="995">
        <f t="shared" si="36"/>
        <v>0</v>
      </c>
      <c r="BC93" s="995">
        <f t="shared" si="36"/>
        <v>142.49097143235019</v>
      </c>
      <c r="BD93" s="995">
        <f t="shared" si="36"/>
        <v>0</v>
      </c>
      <c r="BE93" s="995">
        <f t="shared" si="36"/>
        <v>0</v>
      </c>
      <c r="BF93" s="1001">
        <f t="shared" si="36"/>
        <v>4.2602613387415316</v>
      </c>
      <c r="BG93" s="995">
        <f t="shared" si="36"/>
        <v>3891.7199720738995</v>
      </c>
      <c r="BH93" s="995">
        <f t="shared" si="36"/>
        <v>0</v>
      </c>
      <c r="BK93" s="1242">
        <v>7.5092328613599246</v>
      </c>
      <c r="BL93" s="1242">
        <v>1.5021754763950079</v>
      </c>
    </row>
    <row r="94" spans="1:64" x14ac:dyDescent="0.2">
      <c r="C94" s="997"/>
      <c r="BC94" s="971">
        <v>6.9917355371901238</v>
      </c>
    </row>
    <row r="95" spans="1:64" x14ac:dyDescent="0.2">
      <c r="A95" s="968" t="s">
        <v>1036</v>
      </c>
      <c r="D95" s="970"/>
      <c r="E95" s="971">
        <v>24.117934814586487</v>
      </c>
      <c r="F95" s="971">
        <v>5.4575235128921049</v>
      </c>
      <c r="K95" s="971">
        <v>4.9008449713005131</v>
      </c>
      <c r="L95" s="971">
        <v>0.99549274682895594</v>
      </c>
      <c r="M95" s="971">
        <v>7.7640732005876067</v>
      </c>
      <c r="N95" s="971">
        <v>1.462233605587467</v>
      </c>
      <c r="O95" s="971">
        <v>12.931271761464547</v>
      </c>
      <c r="P95" s="971">
        <v>2.5957868336156866</v>
      </c>
      <c r="Q95" s="971">
        <v>9.6164354369180192</v>
      </c>
      <c r="R95" s="971">
        <v>2.0064076202987904</v>
      </c>
      <c r="S95" s="971">
        <v>6.6234159731466962</v>
      </c>
      <c r="T95" s="971">
        <v>1.3070683403875769</v>
      </c>
      <c r="U95" s="971">
        <v>3.7126539883363932</v>
      </c>
      <c r="V95">
        <v>0.80885365331376591</v>
      </c>
      <c r="AL95" s="971">
        <v>11.106119243310811</v>
      </c>
      <c r="AM95" s="971">
        <v>0.65884136163094464</v>
      </c>
      <c r="AS95" s="972">
        <v>6.4779567412217762</v>
      </c>
      <c r="AT95" s="972">
        <v>2.4613459391966441</v>
      </c>
      <c r="BA95">
        <v>0.37868455107534316</v>
      </c>
      <c r="BF95">
        <v>4.6051737541733013</v>
      </c>
      <c r="BK95" s="1240">
        <v>6.4779567412217762</v>
      </c>
      <c r="BL95" s="1240">
        <v>2.4613459391966441</v>
      </c>
    </row>
    <row r="96" spans="1:64" x14ac:dyDescent="0.2">
      <c r="A96" s="968" t="s">
        <v>900</v>
      </c>
      <c r="E96" s="971">
        <f>E93-E95</f>
        <v>-0.5479017947050302</v>
      </c>
      <c r="F96" s="971">
        <f>F93-F95</f>
        <v>-0.31961016779818063</v>
      </c>
      <c r="K96" s="971">
        <f t="shared" ref="K96:V96" si="37">K93-K95</f>
        <v>0.11373164062330421</v>
      </c>
      <c r="L96" s="971">
        <f t="shared" si="37"/>
        <v>-4.1290881160179538E-2</v>
      </c>
      <c r="M96" s="971">
        <f t="shared" si="37"/>
        <v>0.15629558186631876</v>
      </c>
      <c r="N96" s="971">
        <f t="shared" si="37"/>
        <v>-0.16112892638287435</v>
      </c>
      <c r="O96" s="971">
        <f t="shared" si="37"/>
        <v>0.17754907167089407</v>
      </c>
      <c r="P96" s="971">
        <f t="shared" si="37"/>
        <v>-0.2803033519032665</v>
      </c>
      <c r="Q96" s="971">
        <f t="shared" si="37"/>
        <v>0.13181484748740857</v>
      </c>
      <c r="R96" s="971">
        <f t="shared" si="37"/>
        <v>-0.35090497782427921</v>
      </c>
      <c r="S96" s="971">
        <f t="shared" si="37"/>
        <v>-0.35384220531352906</v>
      </c>
      <c r="T96" s="971">
        <f t="shared" si="37"/>
        <v>-1.8968760723279132E-3</v>
      </c>
      <c r="U96" s="971">
        <f t="shared" si="37"/>
        <v>3.1362985697445556E-2</v>
      </c>
      <c r="V96" s="971">
        <f t="shared" si="37"/>
        <v>-1.0808305271009511E-2</v>
      </c>
      <c r="AL96" s="971">
        <f t="shared" ref="AL96:AM96" si="38">AL93-AL95</f>
        <v>1.398719875690805</v>
      </c>
      <c r="AM96" s="971">
        <f t="shared" si="38"/>
        <v>-5.617395113185597E-3</v>
      </c>
      <c r="AS96" s="971">
        <f t="shared" ref="AS96:AT96" si="39">AS93-AS95</f>
        <v>1.0312761201381484</v>
      </c>
      <c r="AT96" s="971">
        <f t="shared" si="39"/>
        <v>-0.9591704628016362</v>
      </c>
      <c r="BA96" s="971">
        <f>BA93-BA95</f>
        <v>-0.10081987723718788</v>
      </c>
      <c r="BF96" s="971">
        <f>BF93-BF95</f>
        <v>-0.34491241543176976</v>
      </c>
      <c r="BK96" s="1240">
        <v>1.0312761201381484</v>
      </c>
      <c r="BL96" s="1240">
        <v>-0.9591704628016362</v>
      </c>
    </row>
    <row r="98" spans="1:64" x14ac:dyDescent="0.2">
      <c r="B98" s="1004">
        <v>1</v>
      </c>
      <c r="C98" s="1005">
        <v>2</v>
      </c>
      <c r="D98" s="1004">
        <v>3</v>
      </c>
      <c r="E98" s="1005">
        <v>4</v>
      </c>
      <c r="F98" s="1004">
        <v>5</v>
      </c>
      <c r="G98" s="1005">
        <v>6</v>
      </c>
      <c r="H98" s="1004">
        <v>7</v>
      </c>
      <c r="I98" s="1005">
        <v>8</v>
      </c>
      <c r="J98" s="1004">
        <v>9</v>
      </c>
      <c r="K98" s="1005">
        <v>10</v>
      </c>
      <c r="L98" s="1004">
        <v>11</v>
      </c>
      <c r="M98" s="1005">
        <v>12</v>
      </c>
      <c r="N98" s="1004">
        <v>13</v>
      </c>
      <c r="O98" s="1005">
        <v>14</v>
      </c>
      <c r="P98" s="1004">
        <v>15</v>
      </c>
      <c r="Q98" s="1005">
        <v>16</v>
      </c>
      <c r="R98" s="1004">
        <v>17</v>
      </c>
      <c r="S98" s="1005">
        <v>18</v>
      </c>
      <c r="T98" s="1004">
        <v>19</v>
      </c>
      <c r="U98" s="1005">
        <v>20</v>
      </c>
      <c r="V98" s="1004">
        <v>21</v>
      </c>
      <c r="W98" s="1005">
        <v>22</v>
      </c>
      <c r="X98" s="1004">
        <v>23</v>
      </c>
      <c r="Y98" s="1005">
        <v>24</v>
      </c>
      <c r="Z98" s="1004">
        <v>25</v>
      </c>
      <c r="AA98" s="1005">
        <v>26</v>
      </c>
      <c r="AB98" s="1004">
        <v>27</v>
      </c>
      <c r="AC98" s="1005">
        <v>28</v>
      </c>
      <c r="AD98" s="1004">
        <v>29</v>
      </c>
      <c r="AE98" s="1005">
        <v>30</v>
      </c>
      <c r="AF98" s="1004">
        <v>31</v>
      </c>
      <c r="AG98" s="1005">
        <v>32</v>
      </c>
      <c r="AH98" s="1004">
        <v>33</v>
      </c>
      <c r="AI98" s="1005">
        <v>34</v>
      </c>
      <c r="AJ98" s="1004">
        <v>35</v>
      </c>
      <c r="AK98" s="1005">
        <v>36</v>
      </c>
      <c r="AL98" s="1004">
        <v>37</v>
      </c>
      <c r="AM98" s="1005">
        <v>38</v>
      </c>
      <c r="AN98" s="1004">
        <v>39</v>
      </c>
      <c r="AO98" s="1005">
        <v>40</v>
      </c>
      <c r="AP98" s="1004">
        <v>41</v>
      </c>
      <c r="AQ98" s="1005">
        <v>42</v>
      </c>
      <c r="AR98" s="1004">
        <v>43</v>
      </c>
      <c r="AS98" s="1006">
        <v>44</v>
      </c>
      <c r="AT98" s="1007">
        <v>45</v>
      </c>
      <c r="AU98" s="1004"/>
      <c r="AV98" s="1004"/>
      <c r="AW98" s="1005">
        <v>48</v>
      </c>
      <c r="AX98" s="1004">
        <v>49</v>
      </c>
      <c r="AY98" s="1005">
        <v>50</v>
      </c>
      <c r="AZ98" s="1004">
        <v>51</v>
      </c>
      <c r="BA98" s="1005">
        <v>52</v>
      </c>
      <c r="BB98" s="1004">
        <v>53</v>
      </c>
      <c r="BC98" s="1005">
        <v>54</v>
      </c>
      <c r="BD98" s="1004">
        <v>55</v>
      </c>
      <c r="BE98" s="1005">
        <v>56</v>
      </c>
      <c r="BF98" s="1004">
        <v>57</v>
      </c>
      <c r="BG98" s="1005">
        <v>58</v>
      </c>
      <c r="BH98" s="1004">
        <v>59</v>
      </c>
      <c r="BI98" s="1005">
        <v>60</v>
      </c>
      <c r="BJ98" s="1004">
        <v>61</v>
      </c>
      <c r="BK98" s="1243">
        <v>44</v>
      </c>
      <c r="BL98" s="969">
        <v>45</v>
      </c>
    </row>
    <row r="102" spans="1:64" x14ac:dyDescent="0.2">
      <c r="A102" s="79" t="s">
        <v>249</v>
      </c>
      <c r="B102" s="79">
        <v>206189</v>
      </c>
    </row>
    <row r="103" spans="1:64" x14ac:dyDescent="0.2">
      <c r="A103" s="1158" t="s">
        <v>10</v>
      </c>
      <c r="B103" s="94">
        <v>2012</v>
      </c>
    </row>
    <row r="104" spans="1:64" x14ac:dyDescent="0.2">
      <c r="A104" s="1158" t="s">
        <v>73</v>
      </c>
      <c r="B104" s="94">
        <v>5414</v>
      </c>
    </row>
    <row r="105" spans="1:64" x14ac:dyDescent="0.2">
      <c r="A105" s="1158" t="s">
        <v>912</v>
      </c>
      <c r="B105" s="94">
        <v>4000</v>
      </c>
    </row>
    <row r="106" spans="1:64" x14ac:dyDescent="0.2">
      <c r="A106" s="79" t="s">
        <v>11</v>
      </c>
      <c r="B106" s="79">
        <v>2443</v>
      </c>
    </row>
    <row r="107" spans="1:64" x14ac:dyDescent="0.2">
      <c r="A107" s="1158" t="s">
        <v>94</v>
      </c>
      <c r="B107" s="94">
        <v>2442</v>
      </c>
    </row>
    <row r="108" spans="1:64" x14ac:dyDescent="0.2">
      <c r="A108" s="80" t="s">
        <v>252</v>
      </c>
      <c r="B108" s="80" t="s">
        <v>253</v>
      </c>
    </row>
    <row r="109" spans="1:64" x14ac:dyDescent="0.2">
      <c r="A109" s="79" t="s">
        <v>13</v>
      </c>
      <c r="B109" s="79">
        <v>2629</v>
      </c>
    </row>
    <row r="110" spans="1:64" x14ac:dyDescent="0.2">
      <c r="A110" s="1158" t="s">
        <v>14</v>
      </c>
      <c r="B110" s="94">
        <v>2509</v>
      </c>
    </row>
    <row r="111" spans="1:64" x14ac:dyDescent="0.2">
      <c r="A111" s="79" t="s">
        <v>2</v>
      </c>
      <c r="B111" s="79">
        <v>1014</v>
      </c>
    </row>
    <row r="112" spans="1:64" x14ac:dyDescent="0.2">
      <c r="A112" s="1158" t="s">
        <v>15</v>
      </c>
      <c r="B112" s="94">
        <v>2005</v>
      </c>
    </row>
    <row r="113" spans="1:2" x14ac:dyDescent="0.2">
      <c r="A113" s="79" t="s">
        <v>16</v>
      </c>
      <c r="B113" s="79">
        <v>2464</v>
      </c>
    </row>
    <row r="114" spans="1:2" x14ac:dyDescent="0.2">
      <c r="A114" s="661" t="s">
        <v>763</v>
      </c>
      <c r="B114" s="697" t="s">
        <v>765</v>
      </c>
    </row>
    <row r="115" spans="1:2" x14ac:dyDescent="0.2">
      <c r="A115" s="79" t="s">
        <v>17</v>
      </c>
      <c r="B115" s="79">
        <v>2004</v>
      </c>
    </row>
    <row r="116" spans="1:2" x14ac:dyDescent="0.2">
      <c r="A116" s="79" t="s">
        <v>18</v>
      </c>
      <c r="B116" s="79">
        <v>2405</v>
      </c>
    </row>
    <row r="117" spans="1:2" x14ac:dyDescent="0.2">
      <c r="A117" s="79" t="s">
        <v>254</v>
      </c>
      <c r="B117" s="79" t="s">
        <v>256</v>
      </c>
    </row>
    <row r="118" spans="1:2" ht="15" x14ac:dyDescent="0.25">
      <c r="A118" s="1160" t="s">
        <v>261</v>
      </c>
      <c r="B118" s="1162" t="s">
        <v>766</v>
      </c>
    </row>
    <row r="119" spans="1:2" x14ac:dyDescent="0.2">
      <c r="A119" s="1163" t="s">
        <v>257</v>
      </c>
      <c r="B119" s="1164" t="s">
        <v>258</v>
      </c>
    </row>
    <row r="120" spans="1:2" x14ac:dyDescent="0.2">
      <c r="A120" s="1160" t="s">
        <v>259</v>
      </c>
      <c r="B120" s="1165" t="s">
        <v>260</v>
      </c>
    </row>
    <row r="121" spans="1:2" x14ac:dyDescent="0.2">
      <c r="A121" s="79" t="s">
        <v>19</v>
      </c>
      <c r="B121" s="79">
        <v>2011</v>
      </c>
    </row>
    <row r="122" spans="1:2" x14ac:dyDescent="0.2">
      <c r="A122" s="80" t="s">
        <v>262</v>
      </c>
      <c r="B122" s="80" t="s">
        <v>263</v>
      </c>
    </row>
    <row r="123" spans="1:2" x14ac:dyDescent="0.2">
      <c r="A123" s="79" t="s">
        <v>20</v>
      </c>
      <c r="B123" s="79">
        <v>5201</v>
      </c>
    </row>
    <row r="124" spans="1:2" x14ac:dyDescent="0.2">
      <c r="A124" s="79" t="s">
        <v>264</v>
      </c>
      <c r="B124" s="79">
        <v>206124</v>
      </c>
    </row>
    <row r="125" spans="1:2" x14ac:dyDescent="0.2">
      <c r="A125" s="79" t="s">
        <v>21</v>
      </c>
      <c r="B125" s="79">
        <v>2433</v>
      </c>
    </row>
    <row r="126" spans="1:2" x14ac:dyDescent="0.2">
      <c r="A126" s="1158" t="s">
        <v>22</v>
      </c>
      <c r="B126" s="94">
        <v>2432</v>
      </c>
    </row>
    <row r="127" spans="1:2" x14ac:dyDescent="0.2">
      <c r="A127" s="79" t="s">
        <v>267</v>
      </c>
      <c r="B127" s="79" t="s">
        <v>269</v>
      </c>
    </row>
    <row r="128" spans="1:2" x14ac:dyDescent="0.2">
      <c r="A128" s="79" t="s">
        <v>199</v>
      </c>
      <c r="B128" s="79">
        <v>2447</v>
      </c>
    </row>
    <row r="129" spans="1:2" x14ac:dyDescent="0.2">
      <c r="A129" s="79" t="s">
        <v>23</v>
      </c>
      <c r="B129" s="79">
        <v>2512</v>
      </c>
    </row>
    <row r="130" spans="1:2" x14ac:dyDescent="0.2">
      <c r="A130" s="79" t="s">
        <v>270</v>
      </c>
      <c r="B130" s="79">
        <v>206126</v>
      </c>
    </row>
    <row r="131" spans="1:2" x14ac:dyDescent="0.2">
      <c r="A131" s="79" t="s">
        <v>272</v>
      </c>
      <c r="B131" s="79">
        <v>206111</v>
      </c>
    </row>
    <row r="132" spans="1:2" x14ac:dyDescent="0.2">
      <c r="A132" s="79" t="s">
        <v>274</v>
      </c>
      <c r="B132" s="79">
        <v>206091</v>
      </c>
    </row>
    <row r="133" spans="1:2" x14ac:dyDescent="0.2">
      <c r="A133" s="79" t="s">
        <v>24</v>
      </c>
      <c r="B133" s="79">
        <v>2456</v>
      </c>
    </row>
    <row r="134" spans="1:2" x14ac:dyDescent="0.2">
      <c r="A134" s="79" t="s">
        <v>3</v>
      </c>
      <c r="B134" s="79">
        <v>1017</v>
      </c>
    </row>
    <row r="135" spans="1:2" x14ac:dyDescent="0.2">
      <c r="A135" s="79" t="s">
        <v>25</v>
      </c>
      <c r="B135" s="79">
        <v>2449</v>
      </c>
    </row>
    <row r="136" spans="1:2" x14ac:dyDescent="0.2">
      <c r="A136" s="1158" t="s">
        <v>26</v>
      </c>
      <c r="B136" s="79">
        <v>2448</v>
      </c>
    </row>
    <row r="137" spans="1:2" x14ac:dyDescent="0.2">
      <c r="A137" s="79" t="s">
        <v>4</v>
      </c>
      <c r="B137" s="79">
        <v>1006</v>
      </c>
    </row>
    <row r="138" spans="1:2" x14ac:dyDescent="0.2">
      <c r="A138" s="79" t="s">
        <v>27</v>
      </c>
      <c r="B138" s="79">
        <v>2467</v>
      </c>
    </row>
    <row r="139" spans="1:2" x14ac:dyDescent="0.2">
      <c r="A139" s="1158" t="s">
        <v>75</v>
      </c>
      <c r="B139" s="94">
        <v>5402</v>
      </c>
    </row>
    <row r="140" spans="1:2" x14ac:dyDescent="0.2">
      <c r="A140" s="1158" t="s">
        <v>28</v>
      </c>
      <c r="B140" s="94">
        <v>2455</v>
      </c>
    </row>
    <row r="141" spans="1:2" x14ac:dyDescent="0.2">
      <c r="A141" s="1158" t="s">
        <v>29</v>
      </c>
      <c r="B141" s="94">
        <v>5203</v>
      </c>
    </row>
    <row r="142" spans="1:2" x14ac:dyDescent="0.2">
      <c r="A142" s="107" t="s">
        <v>30</v>
      </c>
      <c r="B142" s="79">
        <v>2451</v>
      </c>
    </row>
    <row r="143" spans="1:2" x14ac:dyDescent="0.2">
      <c r="A143" s="80" t="s">
        <v>276</v>
      </c>
      <c r="B143" s="80" t="s">
        <v>277</v>
      </c>
    </row>
    <row r="144" spans="1:2" x14ac:dyDescent="0.2">
      <c r="A144" s="79" t="s">
        <v>278</v>
      </c>
      <c r="B144" s="79">
        <v>206128</v>
      </c>
    </row>
    <row r="145" spans="1:2" x14ac:dyDescent="0.2">
      <c r="A145" s="1158" t="s">
        <v>452</v>
      </c>
      <c r="B145" s="94">
        <v>4002</v>
      </c>
    </row>
    <row r="146" spans="1:2" x14ac:dyDescent="0.2">
      <c r="A146" s="456" t="s">
        <v>455</v>
      </c>
      <c r="B146" s="79">
        <v>2430</v>
      </c>
    </row>
    <row r="147" spans="1:2" x14ac:dyDescent="0.2">
      <c r="A147" s="1167" t="s">
        <v>768</v>
      </c>
      <c r="B147" s="1169" t="s">
        <v>769</v>
      </c>
    </row>
    <row r="148" spans="1:2" x14ac:dyDescent="0.2">
      <c r="A148" s="1158" t="s">
        <v>68</v>
      </c>
      <c r="B148" s="94">
        <v>4608</v>
      </c>
    </row>
    <row r="149" spans="1:2" x14ac:dyDescent="0.2">
      <c r="A149" s="1158" t="s">
        <v>31</v>
      </c>
      <c r="B149" s="94">
        <v>2409</v>
      </c>
    </row>
    <row r="150" spans="1:2" ht="25.5" x14ac:dyDescent="0.2">
      <c r="A150" s="1170" t="s">
        <v>281</v>
      </c>
      <c r="B150" s="1168" t="s">
        <v>282</v>
      </c>
    </row>
    <row r="151" spans="1:2" ht="25.5" x14ac:dyDescent="0.2">
      <c r="A151" s="1171" t="s">
        <v>1401</v>
      </c>
      <c r="B151" s="1173" t="s">
        <v>771</v>
      </c>
    </row>
    <row r="152" spans="1:2" x14ac:dyDescent="0.2">
      <c r="A152" s="1174" t="s">
        <v>539</v>
      </c>
      <c r="B152" s="96">
        <v>205921</v>
      </c>
    </row>
    <row r="153" spans="1:2" x14ac:dyDescent="0.2">
      <c r="A153" s="1171" t="s">
        <v>1372</v>
      </c>
      <c r="B153" s="1154" t="s">
        <v>776</v>
      </c>
    </row>
    <row r="154" spans="1:2" x14ac:dyDescent="0.2">
      <c r="A154" s="1174" t="s">
        <v>538</v>
      </c>
      <c r="B154" s="96">
        <v>205999</v>
      </c>
    </row>
    <row r="155" spans="1:2" x14ac:dyDescent="0.2">
      <c r="A155" s="96" t="s">
        <v>537</v>
      </c>
      <c r="B155" s="95" t="s">
        <v>283</v>
      </c>
    </row>
    <row r="156" spans="1:2" x14ac:dyDescent="0.2">
      <c r="A156" s="1171" t="s">
        <v>1373</v>
      </c>
      <c r="B156" s="1153">
        <v>206065</v>
      </c>
    </row>
    <row r="157" spans="1:2" x14ac:dyDescent="0.2">
      <c r="A157" s="1175" t="s">
        <v>1375</v>
      </c>
      <c r="B157" s="1154" t="s">
        <v>787</v>
      </c>
    </row>
    <row r="158" spans="1:2" x14ac:dyDescent="0.2">
      <c r="A158" s="456" t="s">
        <v>589</v>
      </c>
      <c r="B158" s="1176" t="s">
        <v>288</v>
      </c>
    </row>
    <row r="159" spans="1:2" x14ac:dyDescent="0.2">
      <c r="A159" s="1177" t="s">
        <v>540</v>
      </c>
      <c r="B159" s="96">
        <v>205922</v>
      </c>
    </row>
    <row r="160" spans="1:2" x14ac:dyDescent="0.2">
      <c r="A160" s="456" t="s">
        <v>587</v>
      </c>
      <c r="B160" s="1154" t="s">
        <v>784</v>
      </c>
    </row>
    <row r="161" spans="1:2" x14ac:dyDescent="0.2">
      <c r="A161" s="1171" t="s">
        <v>1374</v>
      </c>
      <c r="B161" s="1154" t="s">
        <v>781</v>
      </c>
    </row>
    <row r="162" spans="1:2" x14ac:dyDescent="0.2">
      <c r="A162" s="1171" t="s">
        <v>1376</v>
      </c>
      <c r="B162" s="1178">
        <v>205919</v>
      </c>
    </row>
    <row r="163" spans="1:2" x14ac:dyDescent="0.2">
      <c r="A163" s="96" t="s">
        <v>541</v>
      </c>
      <c r="B163" s="95" t="s">
        <v>287</v>
      </c>
    </row>
    <row r="164" spans="1:2" x14ac:dyDescent="0.2">
      <c r="A164" s="1171" t="s">
        <v>1377</v>
      </c>
      <c r="B164" s="1179" t="s">
        <v>791</v>
      </c>
    </row>
    <row r="165" spans="1:2" x14ac:dyDescent="0.2">
      <c r="A165" s="1171" t="s">
        <v>1378</v>
      </c>
      <c r="B165" s="1169" t="s">
        <v>793</v>
      </c>
    </row>
    <row r="166" spans="1:2" x14ac:dyDescent="0.2">
      <c r="A166" s="1180" t="s">
        <v>1380</v>
      </c>
      <c r="B166" s="1154" t="s">
        <v>796</v>
      </c>
    </row>
    <row r="167" spans="1:2" x14ac:dyDescent="0.2">
      <c r="A167" s="1181" t="s">
        <v>1379</v>
      </c>
      <c r="B167" s="697">
        <v>205849</v>
      </c>
    </row>
    <row r="168" spans="1:2" x14ac:dyDescent="0.2">
      <c r="A168" s="456" t="s">
        <v>594</v>
      </c>
      <c r="B168" s="1176" t="s">
        <v>284</v>
      </c>
    </row>
    <row r="169" spans="1:2" x14ac:dyDescent="0.2">
      <c r="A169" s="1182" t="s">
        <v>1381</v>
      </c>
      <c r="B169" s="1154" t="s">
        <v>798</v>
      </c>
    </row>
    <row r="170" spans="1:2" x14ac:dyDescent="0.2">
      <c r="A170" s="1183" t="s">
        <v>1385</v>
      </c>
      <c r="B170" s="1184">
        <v>205922</v>
      </c>
    </row>
    <row r="171" spans="1:2" x14ac:dyDescent="0.2">
      <c r="A171" s="1185" t="s">
        <v>1384</v>
      </c>
      <c r="B171" s="1179">
        <v>205881</v>
      </c>
    </row>
    <row r="172" spans="1:2" x14ac:dyDescent="0.2">
      <c r="A172" s="1186" t="s">
        <v>1382</v>
      </c>
      <c r="B172" s="1187" t="s">
        <v>801</v>
      </c>
    </row>
    <row r="173" spans="1:2" x14ac:dyDescent="0.2">
      <c r="A173" s="1174" t="s">
        <v>542</v>
      </c>
      <c r="B173" s="96" t="s">
        <v>289</v>
      </c>
    </row>
    <row r="174" spans="1:2" x14ac:dyDescent="0.2">
      <c r="A174" s="1171" t="s">
        <v>1383</v>
      </c>
      <c r="B174" s="1179" t="s">
        <v>806</v>
      </c>
    </row>
    <row r="175" spans="1:2" x14ac:dyDescent="0.2">
      <c r="A175" s="1185" t="s">
        <v>807</v>
      </c>
      <c r="B175" s="1179" t="s">
        <v>808</v>
      </c>
    </row>
    <row r="176" spans="1:2" x14ac:dyDescent="0.2">
      <c r="A176" s="1185" t="s">
        <v>1386</v>
      </c>
      <c r="B176" s="1189" t="s">
        <v>811</v>
      </c>
    </row>
    <row r="177" spans="1:2" x14ac:dyDescent="0.2">
      <c r="A177" s="1181" t="s">
        <v>543</v>
      </c>
      <c r="B177" s="96">
        <v>2</v>
      </c>
    </row>
    <row r="178" spans="1:2" x14ac:dyDescent="0.2">
      <c r="A178" s="1192" t="s">
        <v>1387</v>
      </c>
      <c r="B178" s="1150" t="s">
        <v>668</v>
      </c>
    </row>
    <row r="179" spans="1:2" x14ac:dyDescent="0.2">
      <c r="A179" s="693" t="s">
        <v>1388</v>
      </c>
      <c r="B179" s="1179" t="s">
        <v>686</v>
      </c>
    </row>
    <row r="180" spans="1:2" x14ac:dyDescent="0.2">
      <c r="A180" s="96" t="s">
        <v>544</v>
      </c>
      <c r="B180" s="1184">
        <v>205956</v>
      </c>
    </row>
    <row r="181" spans="1:2" x14ac:dyDescent="0.2">
      <c r="A181" s="702" t="s">
        <v>1389</v>
      </c>
      <c r="B181" s="1169">
        <v>260849</v>
      </c>
    </row>
    <row r="182" spans="1:2" x14ac:dyDescent="0.2">
      <c r="A182" s="693" t="s">
        <v>1390</v>
      </c>
      <c r="B182" s="1169" t="s">
        <v>818</v>
      </c>
    </row>
    <row r="183" spans="1:2" x14ac:dyDescent="0.2">
      <c r="A183" s="1193" t="s">
        <v>1391</v>
      </c>
      <c r="B183" s="1165" t="s">
        <v>291</v>
      </c>
    </row>
    <row r="184" spans="1:2" x14ac:dyDescent="0.2">
      <c r="A184" s="1145" t="s">
        <v>1392</v>
      </c>
      <c r="B184" s="1154" t="s">
        <v>821</v>
      </c>
    </row>
    <row r="185" spans="1:2" x14ac:dyDescent="0.2">
      <c r="A185" s="1142" t="s">
        <v>1394</v>
      </c>
      <c r="B185" s="1154" t="s">
        <v>825</v>
      </c>
    </row>
    <row r="186" spans="1:2" x14ac:dyDescent="0.2">
      <c r="A186" s="1142" t="s">
        <v>1393</v>
      </c>
      <c r="B186" s="1189" t="s">
        <v>823</v>
      </c>
    </row>
    <row r="187" spans="1:2" x14ac:dyDescent="0.2">
      <c r="A187" s="583" t="s">
        <v>1396</v>
      </c>
      <c r="B187" s="1154" t="s">
        <v>830</v>
      </c>
    </row>
    <row r="188" spans="1:2" x14ac:dyDescent="0.2">
      <c r="A188" s="1143" t="s">
        <v>1395</v>
      </c>
      <c r="B188" s="1154" t="s">
        <v>827</v>
      </c>
    </row>
    <row r="189" spans="1:2" x14ac:dyDescent="0.2">
      <c r="A189" s="1181" t="s">
        <v>591</v>
      </c>
      <c r="B189" s="95" t="s">
        <v>293</v>
      </c>
    </row>
    <row r="190" spans="1:2" x14ac:dyDescent="0.2">
      <c r="A190" s="1142" t="s">
        <v>1402</v>
      </c>
      <c r="B190" s="697" t="s">
        <v>833</v>
      </c>
    </row>
    <row r="191" spans="1:2" x14ac:dyDescent="0.2">
      <c r="A191" s="1142" t="s">
        <v>1403</v>
      </c>
      <c r="B191" s="1154" t="s">
        <v>835</v>
      </c>
    </row>
    <row r="192" spans="1:2" x14ac:dyDescent="0.2">
      <c r="A192" s="1174" t="s">
        <v>547</v>
      </c>
      <c r="B192" s="95" t="s">
        <v>295</v>
      </c>
    </row>
    <row r="193" spans="1:2" x14ac:dyDescent="0.2">
      <c r="A193" s="1148" t="s">
        <v>1397</v>
      </c>
      <c r="B193" s="1154">
        <v>206031</v>
      </c>
    </row>
    <row r="194" spans="1:2" x14ac:dyDescent="0.2">
      <c r="A194" s="1174" t="s">
        <v>546</v>
      </c>
      <c r="B194" s="95" t="s">
        <v>296</v>
      </c>
    </row>
    <row r="195" spans="1:2" x14ac:dyDescent="0.2">
      <c r="A195" s="96" t="s">
        <v>545</v>
      </c>
      <c r="B195" s="95" t="s">
        <v>294</v>
      </c>
    </row>
    <row r="196" spans="1:2" x14ac:dyDescent="0.2">
      <c r="A196" s="1143" t="s">
        <v>1398</v>
      </c>
      <c r="B196" s="1154" t="s">
        <v>840</v>
      </c>
    </row>
    <row r="197" spans="1:2" x14ac:dyDescent="0.2">
      <c r="A197" s="96" t="s">
        <v>1371</v>
      </c>
      <c r="B197" s="95" t="s">
        <v>298</v>
      </c>
    </row>
    <row r="198" spans="1:2" x14ac:dyDescent="0.2">
      <c r="A198" s="1143" t="s">
        <v>1407</v>
      </c>
      <c r="B198" s="1179" t="s">
        <v>844</v>
      </c>
    </row>
    <row r="199" spans="1:2" x14ac:dyDescent="0.2">
      <c r="A199" s="1181" t="s">
        <v>592</v>
      </c>
      <c r="B199" s="1184">
        <v>206043</v>
      </c>
    </row>
    <row r="200" spans="1:2" x14ac:dyDescent="0.2">
      <c r="A200" s="1177" t="s">
        <v>548</v>
      </c>
      <c r="B200" s="95" t="s">
        <v>299</v>
      </c>
    </row>
    <row r="201" spans="1:2" x14ac:dyDescent="0.2">
      <c r="A201" s="1194" t="s">
        <v>590</v>
      </c>
      <c r="B201" s="1195" t="s">
        <v>292</v>
      </c>
    </row>
    <row r="202" spans="1:2" x14ac:dyDescent="0.2">
      <c r="A202" s="1196" t="s">
        <v>593</v>
      </c>
      <c r="B202" s="1197" t="s">
        <v>297</v>
      </c>
    </row>
    <row r="203" spans="1:2" x14ac:dyDescent="0.2">
      <c r="A203" s="1143" t="s">
        <v>1406</v>
      </c>
      <c r="B203" s="1154">
        <v>206067</v>
      </c>
    </row>
    <row r="204" spans="1:2" ht="15" x14ac:dyDescent="0.2">
      <c r="A204" s="1177" t="s">
        <v>549</v>
      </c>
      <c r="B204" s="97" t="s">
        <v>300</v>
      </c>
    </row>
    <row r="205" spans="1:2" x14ac:dyDescent="0.2">
      <c r="A205" s="1190" t="s">
        <v>1400</v>
      </c>
      <c r="B205" s="1191" t="s">
        <v>290</v>
      </c>
    </row>
    <row r="206" spans="1:2" x14ac:dyDescent="0.2">
      <c r="A206" s="1198" t="s">
        <v>550</v>
      </c>
      <c r="B206" s="98" t="s">
        <v>301</v>
      </c>
    </row>
    <row r="207" spans="1:2" x14ac:dyDescent="0.2">
      <c r="A207" s="1147" t="s">
        <v>1404</v>
      </c>
      <c r="B207" s="1209" t="s">
        <v>854</v>
      </c>
    </row>
    <row r="208" spans="1:2" x14ac:dyDescent="0.2">
      <c r="A208" s="456" t="s">
        <v>595</v>
      </c>
      <c r="B208" s="1176" t="s">
        <v>285</v>
      </c>
    </row>
    <row r="209" spans="1:2" x14ac:dyDescent="0.2">
      <c r="A209" s="1147" t="s">
        <v>1405</v>
      </c>
      <c r="B209" s="1209" t="s">
        <v>856</v>
      </c>
    </row>
    <row r="210" spans="1:2" ht="25.5" x14ac:dyDescent="0.2">
      <c r="A210" s="87" t="s">
        <v>302</v>
      </c>
      <c r="B210" s="88" t="s">
        <v>303</v>
      </c>
    </row>
    <row r="211" spans="1:2" x14ac:dyDescent="0.2">
      <c r="A211" s="79" t="s">
        <v>304</v>
      </c>
      <c r="B211" s="79" t="s">
        <v>306</v>
      </c>
    </row>
    <row r="212" spans="1:2" x14ac:dyDescent="0.2">
      <c r="A212" s="1144" t="s">
        <v>858</v>
      </c>
      <c r="B212" s="1169" t="s">
        <v>859</v>
      </c>
    </row>
    <row r="213" spans="1:2" x14ac:dyDescent="0.2">
      <c r="A213" s="1158" t="s">
        <v>111</v>
      </c>
      <c r="B213" s="94">
        <v>4178</v>
      </c>
    </row>
    <row r="214" spans="1:2" x14ac:dyDescent="0.2">
      <c r="A214" s="1158" t="s">
        <v>98</v>
      </c>
      <c r="B214" s="94">
        <v>3158</v>
      </c>
    </row>
    <row r="215" spans="1:2" x14ac:dyDescent="0.2">
      <c r="A215" s="79" t="s">
        <v>32</v>
      </c>
      <c r="B215" s="79">
        <v>2619</v>
      </c>
    </row>
    <row r="216" spans="1:2" x14ac:dyDescent="0.2">
      <c r="A216" s="1141" t="s">
        <v>860</v>
      </c>
      <c r="B216" s="1154" t="s">
        <v>861</v>
      </c>
    </row>
    <row r="217" spans="1:2" x14ac:dyDescent="0.2">
      <c r="A217" s="79" t="s">
        <v>307</v>
      </c>
      <c r="B217" s="80" t="s">
        <v>308</v>
      </c>
    </row>
    <row r="218" spans="1:2" x14ac:dyDescent="0.2">
      <c r="A218" s="79" t="s">
        <v>309</v>
      </c>
      <c r="B218" s="79">
        <v>258417</v>
      </c>
    </row>
    <row r="219" spans="1:2" x14ac:dyDescent="0.2">
      <c r="A219" s="79" t="s">
        <v>311</v>
      </c>
      <c r="B219" s="79" t="s">
        <v>313</v>
      </c>
    </row>
    <row r="220" spans="1:2" x14ac:dyDescent="0.2">
      <c r="A220" s="79" t="s">
        <v>314</v>
      </c>
      <c r="B220" s="79" t="s">
        <v>316</v>
      </c>
    </row>
    <row r="221" spans="1:2" x14ac:dyDescent="0.2">
      <c r="A221" s="79" t="s">
        <v>33</v>
      </c>
      <c r="B221" s="79">
        <v>2518</v>
      </c>
    </row>
    <row r="222" spans="1:2" x14ac:dyDescent="0.2">
      <c r="A222" s="1141" t="s">
        <v>862</v>
      </c>
      <c r="B222" s="1210" t="s">
        <v>863</v>
      </c>
    </row>
    <row r="223" spans="1:2" x14ac:dyDescent="0.2">
      <c r="A223" s="79" t="s">
        <v>317</v>
      </c>
      <c r="B223" s="79">
        <v>206106</v>
      </c>
    </row>
    <row r="224" spans="1:2" x14ac:dyDescent="0.2">
      <c r="A224" s="80" t="s">
        <v>319</v>
      </c>
      <c r="B224" s="80" t="s">
        <v>320</v>
      </c>
    </row>
    <row r="225" spans="1:2" x14ac:dyDescent="0.2">
      <c r="A225" s="1144" t="s">
        <v>864</v>
      </c>
      <c r="B225" s="1169" t="s">
        <v>865</v>
      </c>
    </row>
    <row r="226" spans="1:2" x14ac:dyDescent="0.2">
      <c r="A226" s="1158" t="s">
        <v>34</v>
      </c>
      <c r="B226" s="94">
        <v>2457</v>
      </c>
    </row>
    <row r="227" spans="1:2" x14ac:dyDescent="0.2">
      <c r="A227" s="1158" t="s">
        <v>99</v>
      </c>
      <c r="B227" s="79">
        <v>2010</v>
      </c>
    </row>
    <row r="228" spans="1:2" x14ac:dyDescent="0.2">
      <c r="A228" s="79" t="s">
        <v>35</v>
      </c>
      <c r="B228" s="79">
        <v>2002</v>
      </c>
    </row>
    <row r="229" spans="1:2" x14ac:dyDescent="0.2">
      <c r="A229" s="79" t="s">
        <v>36</v>
      </c>
      <c r="B229" s="79">
        <v>3544</v>
      </c>
    </row>
    <row r="230" spans="1:2" x14ac:dyDescent="0.2">
      <c r="A230" s="79" t="s">
        <v>5</v>
      </c>
      <c r="B230" s="79">
        <v>1008</v>
      </c>
    </row>
    <row r="231" spans="1:2" x14ac:dyDescent="0.2">
      <c r="A231" s="79" t="s">
        <v>321</v>
      </c>
      <c r="B231" s="79" t="s">
        <v>322</v>
      </c>
    </row>
    <row r="232" spans="1:2" x14ac:dyDescent="0.2">
      <c r="A232" s="79" t="s">
        <v>100</v>
      </c>
      <c r="B232" s="79">
        <v>2006</v>
      </c>
    </row>
    <row r="233" spans="1:2" x14ac:dyDescent="0.2">
      <c r="A233" s="80" t="s">
        <v>323</v>
      </c>
      <c r="B233" s="80" t="s">
        <v>324</v>
      </c>
    </row>
    <row r="234" spans="1:2" x14ac:dyDescent="0.2">
      <c r="A234" s="79" t="s">
        <v>325</v>
      </c>
      <c r="B234" s="79">
        <v>206133</v>
      </c>
    </row>
    <row r="235" spans="1:2" x14ac:dyDescent="0.2">
      <c r="A235" s="1149" t="s">
        <v>867</v>
      </c>
      <c r="B235" s="1169" t="s">
        <v>868</v>
      </c>
    </row>
    <row r="236" spans="1:2" x14ac:dyDescent="0.2">
      <c r="A236" s="79" t="s">
        <v>327</v>
      </c>
      <c r="B236" s="79" t="s">
        <v>329</v>
      </c>
    </row>
    <row r="237" spans="1:2" x14ac:dyDescent="0.2">
      <c r="A237" s="79" t="s">
        <v>330</v>
      </c>
      <c r="B237" s="79">
        <v>206134</v>
      </c>
    </row>
    <row r="238" spans="1:2" x14ac:dyDescent="0.2">
      <c r="A238" s="79" t="s">
        <v>334</v>
      </c>
      <c r="B238" s="79" t="s">
        <v>335</v>
      </c>
    </row>
    <row r="239" spans="1:2" x14ac:dyDescent="0.2">
      <c r="A239" s="1199" t="s">
        <v>332</v>
      </c>
      <c r="B239" s="1200" t="s">
        <v>333</v>
      </c>
    </row>
    <row r="240" spans="1:2" x14ac:dyDescent="0.2">
      <c r="A240" s="79" t="s">
        <v>336</v>
      </c>
      <c r="B240" s="79" t="s">
        <v>337</v>
      </c>
    </row>
    <row r="241" spans="1:2" x14ac:dyDescent="0.2">
      <c r="A241" s="79" t="s">
        <v>338</v>
      </c>
      <c r="B241" s="79">
        <v>206109</v>
      </c>
    </row>
    <row r="242" spans="1:2" x14ac:dyDescent="0.2">
      <c r="A242" s="79" t="s">
        <v>37</v>
      </c>
      <c r="B242" s="79">
        <v>2434</v>
      </c>
    </row>
    <row r="243" spans="1:2" x14ac:dyDescent="0.2">
      <c r="A243" s="1161" t="s">
        <v>597</v>
      </c>
      <c r="B243" s="147">
        <v>6905</v>
      </c>
    </row>
    <row r="244" spans="1:2" x14ac:dyDescent="0.2">
      <c r="A244" s="1158" t="s">
        <v>42</v>
      </c>
      <c r="B244" s="94">
        <v>2009</v>
      </c>
    </row>
    <row r="245" spans="1:2" x14ac:dyDescent="0.2">
      <c r="A245" s="1158" t="s">
        <v>38</v>
      </c>
      <c r="B245" s="94">
        <v>2522</v>
      </c>
    </row>
    <row r="246" spans="1:2" x14ac:dyDescent="0.2">
      <c r="A246" s="79" t="s">
        <v>340</v>
      </c>
      <c r="B246" s="79">
        <v>206110</v>
      </c>
    </row>
    <row r="247" spans="1:2" x14ac:dyDescent="0.2">
      <c r="A247" s="79" t="s">
        <v>342</v>
      </c>
      <c r="B247" s="79">
        <v>206135</v>
      </c>
    </row>
    <row r="248" spans="1:2" x14ac:dyDescent="0.2">
      <c r="A248" s="1158" t="s">
        <v>69</v>
      </c>
      <c r="B248" s="94">
        <v>4181</v>
      </c>
    </row>
    <row r="249" spans="1:2" x14ac:dyDescent="0.2">
      <c r="A249" s="79" t="s">
        <v>344</v>
      </c>
      <c r="B249" s="79">
        <v>509195</v>
      </c>
    </row>
    <row r="250" spans="1:2" ht="25.5" x14ac:dyDescent="0.2">
      <c r="A250" s="87" t="s">
        <v>346</v>
      </c>
      <c r="B250" s="88" t="s">
        <v>347</v>
      </c>
    </row>
    <row r="251" spans="1:2" x14ac:dyDescent="0.2">
      <c r="A251" s="1201" t="s">
        <v>348</v>
      </c>
      <c r="B251" s="1202" t="s">
        <v>349</v>
      </c>
    </row>
    <row r="252" spans="1:2" x14ac:dyDescent="0.2">
      <c r="A252" s="79" t="s">
        <v>350</v>
      </c>
      <c r="B252" s="79" t="s">
        <v>352</v>
      </c>
    </row>
    <row r="253" spans="1:2" x14ac:dyDescent="0.2">
      <c r="A253" s="79" t="s">
        <v>353</v>
      </c>
      <c r="B253" s="79">
        <v>509199</v>
      </c>
    </row>
    <row r="254" spans="1:2" x14ac:dyDescent="0.2">
      <c r="A254" s="79" t="s">
        <v>355</v>
      </c>
      <c r="B254" s="79">
        <v>509197</v>
      </c>
    </row>
    <row r="255" spans="1:2" x14ac:dyDescent="0.2">
      <c r="A255" s="1151" t="s">
        <v>870</v>
      </c>
      <c r="B255" s="1211">
        <v>479383</v>
      </c>
    </row>
    <row r="256" spans="1:2" ht="25.5" x14ac:dyDescent="0.2">
      <c r="A256" s="1170" t="s">
        <v>360</v>
      </c>
      <c r="B256" s="1168" t="s">
        <v>361</v>
      </c>
    </row>
    <row r="257" spans="1:2" x14ac:dyDescent="0.2">
      <c r="A257" s="1158" t="s">
        <v>70</v>
      </c>
      <c r="B257" s="94">
        <v>4182</v>
      </c>
    </row>
    <row r="258" spans="1:2" x14ac:dyDescent="0.2">
      <c r="A258" s="79" t="s">
        <v>357</v>
      </c>
      <c r="B258" s="79" t="s">
        <v>359</v>
      </c>
    </row>
    <row r="259" spans="1:2" x14ac:dyDescent="0.2">
      <c r="A259" s="79" t="s">
        <v>6</v>
      </c>
      <c r="B259" s="79">
        <v>1005</v>
      </c>
    </row>
    <row r="260" spans="1:2" x14ac:dyDescent="0.2">
      <c r="A260" s="489" t="s">
        <v>871</v>
      </c>
      <c r="B260" s="1179" t="s">
        <v>872</v>
      </c>
    </row>
    <row r="261" spans="1:2" x14ac:dyDescent="0.2">
      <c r="A261" s="1158" t="s">
        <v>39</v>
      </c>
      <c r="B261" s="94">
        <v>2436</v>
      </c>
    </row>
    <row r="262" spans="1:2" x14ac:dyDescent="0.2">
      <c r="A262" s="79" t="s">
        <v>362</v>
      </c>
      <c r="B262" s="79">
        <v>206117</v>
      </c>
    </row>
    <row r="263" spans="1:2" x14ac:dyDescent="0.2">
      <c r="A263" s="79" t="s">
        <v>40</v>
      </c>
      <c r="B263" s="79">
        <v>2452</v>
      </c>
    </row>
    <row r="264" spans="1:2" x14ac:dyDescent="0.2">
      <c r="A264" s="1158" t="s">
        <v>71</v>
      </c>
      <c r="B264" s="94">
        <v>4001</v>
      </c>
    </row>
    <row r="265" spans="1:2" x14ac:dyDescent="0.2">
      <c r="A265" s="79" t="s">
        <v>364</v>
      </c>
      <c r="B265" s="79">
        <v>206141</v>
      </c>
    </row>
    <row r="266" spans="1:2" x14ac:dyDescent="0.2">
      <c r="A266" s="1158" t="s">
        <v>41</v>
      </c>
      <c r="B266" s="94">
        <v>2627</v>
      </c>
    </row>
    <row r="267" spans="1:2" x14ac:dyDescent="0.2">
      <c r="A267" s="1158" t="s">
        <v>112</v>
      </c>
      <c r="B267" s="94">
        <v>5406</v>
      </c>
    </row>
    <row r="268" spans="1:2" x14ac:dyDescent="0.2">
      <c r="A268" s="1158" t="s">
        <v>113</v>
      </c>
      <c r="B268" s="94">
        <v>5407</v>
      </c>
    </row>
    <row r="269" spans="1:2" x14ac:dyDescent="0.2">
      <c r="A269" s="79" t="s">
        <v>366</v>
      </c>
      <c r="B269" s="79" t="s">
        <v>368</v>
      </c>
    </row>
    <row r="270" spans="1:2" x14ac:dyDescent="0.2">
      <c r="A270" s="79" t="s">
        <v>369</v>
      </c>
      <c r="B270" s="79">
        <v>258404</v>
      </c>
    </row>
    <row r="271" spans="1:2" x14ac:dyDescent="0.2">
      <c r="A271" s="1158" t="s">
        <v>101</v>
      </c>
      <c r="B271" s="79">
        <v>2473</v>
      </c>
    </row>
    <row r="272" spans="1:2" x14ac:dyDescent="0.2">
      <c r="A272" s="1158" t="s">
        <v>44</v>
      </c>
      <c r="B272" s="94">
        <v>2471</v>
      </c>
    </row>
    <row r="273" spans="1:2" x14ac:dyDescent="0.2">
      <c r="A273" s="79" t="s">
        <v>371</v>
      </c>
      <c r="B273" s="79">
        <v>258405</v>
      </c>
    </row>
    <row r="274" spans="1:2" x14ac:dyDescent="0.2">
      <c r="A274" s="79" t="s">
        <v>373</v>
      </c>
      <c r="B274" s="79">
        <v>258406</v>
      </c>
    </row>
    <row r="275" spans="1:2" x14ac:dyDescent="0.2">
      <c r="A275" s="79" t="s">
        <v>43</v>
      </c>
      <c r="B275" s="79">
        <v>2420</v>
      </c>
    </row>
    <row r="276" spans="1:2" x14ac:dyDescent="0.2">
      <c r="A276" s="79" t="s">
        <v>375</v>
      </c>
      <c r="B276" s="79">
        <v>206160</v>
      </c>
    </row>
    <row r="277" spans="1:2" x14ac:dyDescent="0.2">
      <c r="A277" s="79" t="s">
        <v>45</v>
      </c>
      <c r="B277" s="79">
        <v>2003</v>
      </c>
    </row>
    <row r="278" spans="1:2" x14ac:dyDescent="0.2">
      <c r="A278" s="1158" t="s">
        <v>46</v>
      </c>
      <c r="B278" s="94">
        <v>2423</v>
      </c>
    </row>
    <row r="279" spans="1:2" x14ac:dyDescent="0.2">
      <c r="A279" s="1158" t="s">
        <v>47</v>
      </c>
      <c r="B279" s="94">
        <v>2424</v>
      </c>
    </row>
    <row r="280" spans="1:2" x14ac:dyDescent="0.2">
      <c r="A280" s="79" t="s">
        <v>377</v>
      </c>
      <c r="B280" s="79" t="s">
        <v>379</v>
      </c>
    </row>
    <row r="281" spans="1:2" x14ac:dyDescent="0.2">
      <c r="A281" s="726" t="s">
        <v>873</v>
      </c>
      <c r="B281" s="1179" t="s">
        <v>874</v>
      </c>
    </row>
    <row r="282" spans="1:2" x14ac:dyDescent="0.2">
      <c r="A282" s="79" t="s">
        <v>382</v>
      </c>
      <c r="B282" s="79" t="s">
        <v>384</v>
      </c>
    </row>
    <row r="283" spans="1:2" x14ac:dyDescent="0.2">
      <c r="A283" s="79" t="s">
        <v>385</v>
      </c>
      <c r="B283" s="79">
        <v>206146</v>
      </c>
    </row>
    <row r="284" spans="1:2" x14ac:dyDescent="0.2">
      <c r="A284" s="1158" t="s">
        <v>48</v>
      </c>
      <c r="B284" s="94">
        <v>2439</v>
      </c>
    </row>
    <row r="285" spans="1:2" x14ac:dyDescent="0.2">
      <c r="A285" s="1158" t="s">
        <v>49</v>
      </c>
      <c r="B285" s="94">
        <v>2440</v>
      </c>
    </row>
    <row r="286" spans="1:2" x14ac:dyDescent="0.2">
      <c r="A286" s="80" t="s">
        <v>387</v>
      </c>
      <c r="B286" s="80" t="s">
        <v>388</v>
      </c>
    </row>
    <row r="287" spans="1:2" x14ac:dyDescent="0.2">
      <c r="A287" s="1158" t="s">
        <v>102</v>
      </c>
      <c r="B287" s="79">
        <v>2462</v>
      </c>
    </row>
    <row r="288" spans="1:2" x14ac:dyDescent="0.2">
      <c r="A288" s="1158" t="s">
        <v>50</v>
      </c>
      <c r="B288" s="94">
        <v>2463</v>
      </c>
    </row>
    <row r="289" spans="1:2" x14ac:dyDescent="0.2">
      <c r="A289" s="79" t="s">
        <v>51</v>
      </c>
      <c r="B289" s="79">
        <v>2505</v>
      </c>
    </row>
    <row r="290" spans="1:2" x14ac:dyDescent="0.2">
      <c r="A290" s="79" t="s">
        <v>52</v>
      </c>
      <c r="B290" s="79">
        <v>2000</v>
      </c>
    </row>
    <row r="291" spans="1:2" x14ac:dyDescent="0.2">
      <c r="A291" s="1158" t="s">
        <v>53</v>
      </c>
      <c r="B291" s="94">
        <v>2458</v>
      </c>
    </row>
    <row r="292" spans="1:2" x14ac:dyDescent="0.2">
      <c r="A292" s="79" t="s">
        <v>392</v>
      </c>
      <c r="B292" s="79" t="s">
        <v>394</v>
      </c>
    </row>
    <row r="293" spans="1:2" x14ac:dyDescent="0.2">
      <c r="A293" s="79" t="s">
        <v>54</v>
      </c>
      <c r="B293" s="79">
        <v>2001</v>
      </c>
    </row>
    <row r="294" spans="1:2" x14ac:dyDescent="0.2">
      <c r="A294" s="80" t="s">
        <v>395</v>
      </c>
      <c r="B294" s="80" t="s">
        <v>396</v>
      </c>
    </row>
    <row r="295" spans="1:2" x14ac:dyDescent="0.2">
      <c r="A295" s="79" t="s">
        <v>55</v>
      </c>
      <c r="B295" s="79">
        <v>2429</v>
      </c>
    </row>
    <row r="296" spans="1:2" x14ac:dyDescent="0.2">
      <c r="A296" s="79" t="s">
        <v>397</v>
      </c>
      <c r="B296" s="79">
        <v>113044</v>
      </c>
    </row>
    <row r="297" spans="1:2" x14ac:dyDescent="0.2">
      <c r="A297" s="79" t="s">
        <v>399</v>
      </c>
      <c r="B297" s="79" t="s">
        <v>401</v>
      </c>
    </row>
    <row r="298" spans="1:2" x14ac:dyDescent="0.2">
      <c r="A298" s="1158" t="s">
        <v>72</v>
      </c>
      <c r="B298" s="94">
        <v>4607</v>
      </c>
    </row>
    <row r="299" spans="1:2" x14ac:dyDescent="0.2">
      <c r="A299" s="665" t="s">
        <v>881</v>
      </c>
      <c r="B299" s="1169" t="s">
        <v>882</v>
      </c>
    </row>
    <row r="300" spans="1:2" x14ac:dyDescent="0.2">
      <c r="A300" s="726" t="s">
        <v>883</v>
      </c>
      <c r="B300" s="1154" t="s">
        <v>884</v>
      </c>
    </row>
    <row r="301" spans="1:2" x14ac:dyDescent="0.2">
      <c r="A301" s="79" t="s">
        <v>56</v>
      </c>
      <c r="B301" s="79">
        <v>2444</v>
      </c>
    </row>
    <row r="302" spans="1:2" x14ac:dyDescent="0.2">
      <c r="A302" s="1158" t="s">
        <v>57</v>
      </c>
      <c r="B302" s="94">
        <v>5209</v>
      </c>
    </row>
    <row r="303" spans="1:2" x14ac:dyDescent="0.2">
      <c r="A303" s="79" t="s">
        <v>402</v>
      </c>
      <c r="B303" s="79" t="s">
        <v>404</v>
      </c>
    </row>
    <row r="304" spans="1:2" x14ac:dyDescent="0.2">
      <c r="A304" s="79" t="s">
        <v>405</v>
      </c>
      <c r="B304" s="79" t="s">
        <v>407</v>
      </c>
    </row>
    <row r="305" spans="1:2" x14ac:dyDescent="0.2">
      <c r="A305" s="1158" t="s">
        <v>58</v>
      </c>
      <c r="B305" s="94">
        <v>2469</v>
      </c>
    </row>
    <row r="306" spans="1:2" x14ac:dyDescent="0.2">
      <c r="A306" s="79" t="s">
        <v>408</v>
      </c>
      <c r="B306" s="79" t="s">
        <v>410</v>
      </c>
    </row>
    <row r="307" spans="1:2" x14ac:dyDescent="0.2">
      <c r="A307" s="99" t="s">
        <v>411</v>
      </c>
      <c r="B307" s="99" t="s">
        <v>412</v>
      </c>
    </row>
    <row r="308" spans="1:2" x14ac:dyDescent="0.2">
      <c r="A308" s="1158" t="s">
        <v>59</v>
      </c>
      <c r="B308" s="94">
        <v>2466</v>
      </c>
    </row>
    <row r="309" spans="1:2" x14ac:dyDescent="0.2">
      <c r="A309" s="79" t="s">
        <v>60</v>
      </c>
      <c r="B309" s="79">
        <v>3543</v>
      </c>
    </row>
    <row r="310" spans="1:2" x14ac:dyDescent="0.2">
      <c r="A310" s="79" t="s">
        <v>413</v>
      </c>
      <c r="B310" s="79">
        <v>206152</v>
      </c>
    </row>
    <row r="311" spans="1:2" x14ac:dyDescent="0.2">
      <c r="A311" s="79" t="s">
        <v>415</v>
      </c>
      <c r="B311" s="79">
        <v>206153</v>
      </c>
    </row>
    <row r="312" spans="1:2" x14ac:dyDescent="0.2">
      <c r="A312" s="1158" t="s">
        <v>62</v>
      </c>
      <c r="B312" s="94">
        <v>3531</v>
      </c>
    </row>
    <row r="313" spans="1:2" x14ac:dyDescent="0.2">
      <c r="A313" s="79" t="s">
        <v>63</v>
      </c>
      <c r="B313" s="79">
        <v>3526</v>
      </c>
    </row>
    <row r="314" spans="1:2" x14ac:dyDescent="0.2">
      <c r="A314" s="1158" t="s">
        <v>104</v>
      </c>
      <c r="B314" s="94">
        <v>3535</v>
      </c>
    </row>
    <row r="315" spans="1:2" x14ac:dyDescent="0.2">
      <c r="A315" s="1203" t="s">
        <v>64</v>
      </c>
      <c r="B315" s="94">
        <v>2008</v>
      </c>
    </row>
    <row r="316" spans="1:2" x14ac:dyDescent="0.2">
      <c r="A316" s="1158" t="s">
        <v>105</v>
      </c>
      <c r="B316" s="94">
        <v>3542</v>
      </c>
    </row>
    <row r="317" spans="1:2" x14ac:dyDescent="0.2">
      <c r="A317" s="90" t="s">
        <v>417</v>
      </c>
      <c r="B317" s="79">
        <v>206154</v>
      </c>
    </row>
    <row r="318" spans="1:2" x14ac:dyDescent="0.2">
      <c r="A318" s="1158" t="s">
        <v>106</v>
      </c>
      <c r="B318" s="79">
        <v>3528</v>
      </c>
    </row>
    <row r="319" spans="1:2" x14ac:dyDescent="0.2">
      <c r="A319" s="80" t="s">
        <v>419</v>
      </c>
      <c r="B319" s="80" t="s">
        <v>420</v>
      </c>
    </row>
    <row r="320" spans="1:2" x14ac:dyDescent="0.2">
      <c r="A320" s="1158" t="s">
        <v>107</v>
      </c>
      <c r="B320" s="94">
        <v>3534</v>
      </c>
    </row>
    <row r="321" spans="1:2" x14ac:dyDescent="0.2">
      <c r="A321" s="1158" t="s">
        <v>108</v>
      </c>
      <c r="B321" s="143">
        <v>3532</v>
      </c>
    </row>
    <row r="322" spans="1:2" x14ac:dyDescent="0.2">
      <c r="A322" s="107" t="s">
        <v>7</v>
      </c>
      <c r="B322" s="79">
        <v>1010</v>
      </c>
    </row>
    <row r="323" spans="1:2" x14ac:dyDescent="0.2">
      <c r="A323" s="107" t="s">
        <v>421</v>
      </c>
      <c r="B323" s="79" t="s">
        <v>423</v>
      </c>
    </row>
    <row r="324" spans="1:2" x14ac:dyDescent="0.2">
      <c r="A324" s="1158" t="s">
        <v>114</v>
      </c>
      <c r="B324" s="94">
        <v>4177</v>
      </c>
    </row>
    <row r="325" spans="1:2" x14ac:dyDescent="0.2">
      <c r="A325" s="79" t="s">
        <v>424</v>
      </c>
      <c r="B325" s="79" t="s">
        <v>426</v>
      </c>
    </row>
    <row r="326" spans="1:2" x14ac:dyDescent="0.2">
      <c r="A326" s="79" t="s">
        <v>427</v>
      </c>
      <c r="B326" s="79">
        <v>206103</v>
      </c>
    </row>
    <row r="327" spans="1:2" x14ac:dyDescent="0.2">
      <c r="A327" s="79" t="s">
        <v>428</v>
      </c>
      <c r="B327" s="79" t="s">
        <v>430</v>
      </c>
    </row>
    <row r="328" spans="1:2" x14ac:dyDescent="0.2">
      <c r="A328" s="79" t="s">
        <v>431</v>
      </c>
      <c r="B328" s="79" t="s">
        <v>433</v>
      </c>
    </row>
    <row r="329" spans="1:2" x14ac:dyDescent="0.2">
      <c r="A329" s="79" t="s">
        <v>434</v>
      </c>
      <c r="B329" s="79">
        <v>258420</v>
      </c>
    </row>
    <row r="330" spans="1:2" x14ac:dyDescent="0.2">
      <c r="A330" s="79" t="s">
        <v>436</v>
      </c>
      <c r="B330" s="79">
        <v>258424</v>
      </c>
    </row>
    <row r="331" spans="1:2" x14ac:dyDescent="0.2">
      <c r="A331" s="79" t="s">
        <v>438</v>
      </c>
      <c r="B331" s="79" t="s">
        <v>439</v>
      </c>
    </row>
    <row r="332" spans="1:2" x14ac:dyDescent="0.2">
      <c r="A332" s="142" t="s">
        <v>65</v>
      </c>
      <c r="B332" s="79">
        <v>3546</v>
      </c>
    </row>
    <row r="333" spans="1:2" x14ac:dyDescent="0.2">
      <c r="A333" s="140" t="s">
        <v>8</v>
      </c>
      <c r="B333" s="79">
        <v>1009</v>
      </c>
    </row>
    <row r="334" spans="1:2" x14ac:dyDescent="0.2">
      <c r="A334" s="142" t="s">
        <v>66</v>
      </c>
      <c r="B334" s="79">
        <v>3530</v>
      </c>
    </row>
    <row r="335" spans="1:2" x14ac:dyDescent="0.2">
      <c r="A335" s="1158" t="s">
        <v>74</v>
      </c>
      <c r="B335" s="94">
        <v>5412</v>
      </c>
    </row>
    <row r="336" spans="1:2" ht="15" x14ac:dyDescent="0.2">
      <c r="A336" s="146" t="s">
        <v>445</v>
      </c>
      <c r="B336" s="146" t="s">
        <v>446</v>
      </c>
    </row>
    <row r="337" spans="1:2" x14ac:dyDescent="0.2">
      <c r="A337" s="140" t="s">
        <v>440</v>
      </c>
      <c r="B337" s="144" t="s">
        <v>442</v>
      </c>
    </row>
    <row r="338" spans="1:2" x14ac:dyDescent="0.2">
      <c r="A338" s="79" t="s">
        <v>9</v>
      </c>
      <c r="B338" s="140">
        <v>1015</v>
      </c>
    </row>
    <row r="339" spans="1:2" ht="25.5" x14ac:dyDescent="0.2">
      <c r="A339" s="141" t="s">
        <v>443</v>
      </c>
      <c r="B339" s="145" t="s">
        <v>444</v>
      </c>
    </row>
    <row r="340" spans="1:2" x14ac:dyDescent="0.2">
      <c r="A340" s="142" t="s">
        <v>447</v>
      </c>
      <c r="B340" s="79">
        <v>509204</v>
      </c>
    </row>
    <row r="341" spans="1:2" x14ac:dyDescent="0.2">
      <c r="A341" s="1206" t="s">
        <v>67</v>
      </c>
      <c r="B341" s="143">
        <v>2459</v>
      </c>
    </row>
    <row r="342" spans="1:2" x14ac:dyDescent="0.2">
      <c r="A342" s="79" t="s">
        <v>96</v>
      </c>
      <c r="B342" s="79">
        <v>2007</v>
      </c>
    </row>
  </sheetData>
  <sheetProtection password="EF5C" sheet="1" objects="1" scenarios="1"/>
  <pageMargins left="0.70866141732283472" right="0.70866141732283472" top="0.74803149606299213" bottom="0.74803149606299213" header="0.31496062992125984" footer="0.31496062992125984"/>
  <pageSetup paperSize="9" scale="55" orientation="landscape" r:id="rId1"/>
  <headerFooter>
    <oddFooter>&amp;Z&amp;F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O369"/>
  <sheetViews>
    <sheetView topLeftCell="B1" workbookViewId="0">
      <pane xSplit="4" ySplit="2" topLeftCell="AK339" activePane="bottomRight" state="frozen"/>
      <selection activeCell="C118" sqref="C118"/>
      <selection pane="topRight" activeCell="C118" sqref="C118"/>
      <selection pane="bottomLeft" activeCell="C118" sqref="C118"/>
      <selection pane="bottomRight" activeCell="B1" sqref="B1:AW1048576"/>
    </sheetView>
  </sheetViews>
  <sheetFormatPr defaultRowHeight="12.75" x14ac:dyDescent="0.2"/>
  <cols>
    <col min="1" max="1" width="7" style="820" hidden="1" customWidth="1"/>
    <col min="2" max="3" width="7" style="888" hidden="1" customWidth="1"/>
    <col min="4" max="4" width="8.28515625" style="888" hidden="1" customWidth="1"/>
    <col min="5" max="5" width="46" style="875" hidden="1" customWidth="1"/>
    <col min="6" max="6" width="9.140625" style="889" hidden="1" customWidth="1"/>
    <col min="7" max="7" width="9.140625" style="888" hidden="1" customWidth="1"/>
    <col min="8" max="8" width="8.5703125" style="889" hidden="1" customWidth="1"/>
    <col min="9" max="9" width="10.7109375" style="889" hidden="1" customWidth="1"/>
    <col min="10" max="10" width="12.85546875" style="888" hidden="1" customWidth="1"/>
    <col min="11" max="14" width="5.5703125" style="889" hidden="1" customWidth="1"/>
    <col min="15" max="15" width="12.5703125" style="888" hidden="1" customWidth="1"/>
    <col min="16" max="18" width="5.5703125" style="888" hidden="1" customWidth="1"/>
    <col min="19" max="19" width="11.42578125" style="888" hidden="1" customWidth="1"/>
    <col min="20" max="21" width="5.5703125" style="888" hidden="1" customWidth="1"/>
    <col min="22" max="22" width="11" style="888" hidden="1" customWidth="1"/>
    <col min="23" max="25" width="5.5703125" style="888" hidden="1" customWidth="1"/>
    <col min="26" max="26" width="6.85546875" style="890" hidden="1" customWidth="1"/>
    <col min="27" max="30" width="6.85546875" style="825" hidden="1" customWidth="1"/>
    <col min="31" max="31" width="6.85546875" style="890" hidden="1" customWidth="1"/>
    <col min="32" max="32" width="6.5703125" style="824" hidden="1" customWidth="1"/>
    <col min="33" max="40" width="0" style="888" hidden="1" customWidth="1"/>
    <col min="41" max="49" width="0" style="875" hidden="1" customWidth="1"/>
    <col min="50" max="260" width="9.140625" style="875"/>
    <col min="261" max="261" width="0" style="875" hidden="1" customWidth="1"/>
    <col min="262" max="263" width="7" style="875" customWidth="1"/>
    <col min="264" max="264" width="8.28515625" style="875" bestFit="1" customWidth="1"/>
    <col min="265" max="265" width="46" style="875" customWidth="1"/>
    <col min="266" max="280" width="5.5703125" style="875" customWidth="1"/>
    <col min="281" max="286" width="6.85546875" style="875" customWidth="1"/>
    <col min="287" max="516" width="9.140625" style="875"/>
    <col min="517" max="517" width="0" style="875" hidden="1" customWidth="1"/>
    <col min="518" max="519" width="7" style="875" customWidth="1"/>
    <col min="520" max="520" width="8.28515625" style="875" bestFit="1" customWidth="1"/>
    <col min="521" max="521" width="46" style="875" customWidth="1"/>
    <col min="522" max="536" width="5.5703125" style="875" customWidth="1"/>
    <col min="537" max="542" width="6.85546875" style="875" customWidth="1"/>
    <col min="543" max="772" width="9.140625" style="875"/>
    <col min="773" max="773" width="0" style="875" hidden="1" customWidth="1"/>
    <col min="774" max="775" width="7" style="875" customWidth="1"/>
    <col min="776" max="776" width="8.28515625" style="875" bestFit="1" customWidth="1"/>
    <col min="777" max="777" width="46" style="875" customWidth="1"/>
    <col min="778" max="792" width="5.5703125" style="875" customWidth="1"/>
    <col min="793" max="798" width="6.85546875" style="875" customWidth="1"/>
    <col min="799" max="1028" width="9.140625" style="875"/>
    <col min="1029" max="1029" width="0" style="875" hidden="1" customWidth="1"/>
    <col min="1030" max="1031" width="7" style="875" customWidth="1"/>
    <col min="1032" max="1032" width="8.28515625" style="875" bestFit="1" customWidth="1"/>
    <col min="1033" max="1033" width="46" style="875" customWidth="1"/>
    <col min="1034" max="1048" width="5.5703125" style="875" customWidth="1"/>
    <col min="1049" max="1054" width="6.85546875" style="875" customWidth="1"/>
    <col min="1055" max="1284" width="9.140625" style="875"/>
    <col min="1285" max="1285" width="0" style="875" hidden="1" customWidth="1"/>
    <col min="1286" max="1287" width="7" style="875" customWidth="1"/>
    <col min="1288" max="1288" width="8.28515625" style="875" bestFit="1" customWidth="1"/>
    <col min="1289" max="1289" width="46" style="875" customWidth="1"/>
    <col min="1290" max="1304" width="5.5703125" style="875" customWidth="1"/>
    <col min="1305" max="1310" width="6.85546875" style="875" customWidth="1"/>
    <col min="1311" max="1540" width="9.140625" style="875"/>
    <col min="1541" max="1541" width="0" style="875" hidden="1" customWidth="1"/>
    <col min="1542" max="1543" width="7" style="875" customWidth="1"/>
    <col min="1544" max="1544" width="8.28515625" style="875" bestFit="1" customWidth="1"/>
    <col min="1545" max="1545" width="46" style="875" customWidth="1"/>
    <col min="1546" max="1560" width="5.5703125" style="875" customWidth="1"/>
    <col min="1561" max="1566" width="6.85546875" style="875" customWidth="1"/>
    <col min="1567" max="1796" width="9.140625" style="875"/>
    <col min="1797" max="1797" width="0" style="875" hidden="1" customWidth="1"/>
    <col min="1798" max="1799" width="7" style="875" customWidth="1"/>
    <col min="1800" max="1800" width="8.28515625" style="875" bestFit="1" customWidth="1"/>
    <col min="1801" max="1801" width="46" style="875" customWidth="1"/>
    <col min="1802" max="1816" width="5.5703125" style="875" customWidth="1"/>
    <col min="1817" max="1822" width="6.85546875" style="875" customWidth="1"/>
    <col min="1823" max="2052" width="9.140625" style="875"/>
    <col min="2053" max="2053" width="0" style="875" hidden="1" customWidth="1"/>
    <col min="2054" max="2055" width="7" style="875" customWidth="1"/>
    <col min="2056" max="2056" width="8.28515625" style="875" bestFit="1" customWidth="1"/>
    <col min="2057" max="2057" width="46" style="875" customWidth="1"/>
    <col min="2058" max="2072" width="5.5703125" style="875" customWidth="1"/>
    <col min="2073" max="2078" width="6.85546875" style="875" customWidth="1"/>
    <col min="2079" max="2308" width="9.140625" style="875"/>
    <col min="2309" max="2309" width="0" style="875" hidden="1" customWidth="1"/>
    <col min="2310" max="2311" width="7" style="875" customWidth="1"/>
    <col min="2312" max="2312" width="8.28515625" style="875" bestFit="1" customWidth="1"/>
    <col min="2313" max="2313" width="46" style="875" customWidth="1"/>
    <col min="2314" max="2328" width="5.5703125" style="875" customWidth="1"/>
    <col min="2329" max="2334" width="6.85546875" style="875" customWidth="1"/>
    <col min="2335" max="2564" width="9.140625" style="875"/>
    <col min="2565" max="2565" width="0" style="875" hidden="1" customWidth="1"/>
    <col min="2566" max="2567" width="7" style="875" customWidth="1"/>
    <col min="2568" max="2568" width="8.28515625" style="875" bestFit="1" customWidth="1"/>
    <col min="2569" max="2569" width="46" style="875" customWidth="1"/>
    <col min="2570" max="2584" width="5.5703125" style="875" customWidth="1"/>
    <col min="2585" max="2590" width="6.85546875" style="875" customWidth="1"/>
    <col min="2591" max="2820" width="9.140625" style="875"/>
    <col min="2821" max="2821" width="0" style="875" hidden="1" customWidth="1"/>
    <col min="2822" max="2823" width="7" style="875" customWidth="1"/>
    <col min="2824" max="2824" width="8.28515625" style="875" bestFit="1" customWidth="1"/>
    <col min="2825" max="2825" width="46" style="875" customWidth="1"/>
    <col min="2826" max="2840" width="5.5703125" style="875" customWidth="1"/>
    <col min="2841" max="2846" width="6.85546875" style="875" customWidth="1"/>
    <col min="2847" max="3076" width="9.140625" style="875"/>
    <col min="3077" max="3077" width="0" style="875" hidden="1" customWidth="1"/>
    <col min="3078" max="3079" width="7" style="875" customWidth="1"/>
    <col min="3080" max="3080" width="8.28515625" style="875" bestFit="1" customWidth="1"/>
    <col min="3081" max="3081" width="46" style="875" customWidth="1"/>
    <col min="3082" max="3096" width="5.5703125" style="875" customWidth="1"/>
    <col min="3097" max="3102" width="6.85546875" style="875" customWidth="1"/>
    <col min="3103" max="3332" width="9.140625" style="875"/>
    <col min="3333" max="3333" width="0" style="875" hidden="1" customWidth="1"/>
    <col min="3334" max="3335" width="7" style="875" customWidth="1"/>
    <col min="3336" max="3336" width="8.28515625" style="875" bestFit="1" customWidth="1"/>
    <col min="3337" max="3337" width="46" style="875" customWidth="1"/>
    <col min="3338" max="3352" width="5.5703125" style="875" customWidth="1"/>
    <col min="3353" max="3358" width="6.85546875" style="875" customWidth="1"/>
    <col min="3359" max="3588" width="9.140625" style="875"/>
    <col min="3589" max="3589" width="0" style="875" hidden="1" customWidth="1"/>
    <col min="3590" max="3591" width="7" style="875" customWidth="1"/>
    <col min="3592" max="3592" width="8.28515625" style="875" bestFit="1" customWidth="1"/>
    <col min="3593" max="3593" width="46" style="875" customWidth="1"/>
    <col min="3594" max="3608" width="5.5703125" style="875" customWidth="1"/>
    <col min="3609" max="3614" width="6.85546875" style="875" customWidth="1"/>
    <col min="3615" max="3844" width="9.140625" style="875"/>
    <col min="3845" max="3845" width="0" style="875" hidden="1" customWidth="1"/>
    <col min="3846" max="3847" width="7" style="875" customWidth="1"/>
    <col min="3848" max="3848" width="8.28515625" style="875" bestFit="1" customWidth="1"/>
    <col min="3849" max="3849" width="46" style="875" customWidth="1"/>
    <col min="3850" max="3864" width="5.5703125" style="875" customWidth="1"/>
    <col min="3865" max="3870" width="6.85546875" style="875" customWidth="1"/>
    <col min="3871" max="4100" width="9.140625" style="875"/>
    <col min="4101" max="4101" width="0" style="875" hidden="1" customWidth="1"/>
    <col min="4102" max="4103" width="7" style="875" customWidth="1"/>
    <col min="4104" max="4104" width="8.28515625" style="875" bestFit="1" customWidth="1"/>
    <col min="4105" max="4105" width="46" style="875" customWidth="1"/>
    <col min="4106" max="4120" width="5.5703125" style="875" customWidth="1"/>
    <col min="4121" max="4126" width="6.85546875" style="875" customWidth="1"/>
    <col min="4127" max="4356" width="9.140625" style="875"/>
    <col min="4357" max="4357" width="0" style="875" hidden="1" customWidth="1"/>
    <col min="4358" max="4359" width="7" style="875" customWidth="1"/>
    <col min="4360" max="4360" width="8.28515625" style="875" bestFit="1" customWidth="1"/>
    <col min="4361" max="4361" width="46" style="875" customWidth="1"/>
    <col min="4362" max="4376" width="5.5703125" style="875" customWidth="1"/>
    <col min="4377" max="4382" width="6.85546875" style="875" customWidth="1"/>
    <col min="4383" max="4612" width="9.140625" style="875"/>
    <col min="4613" max="4613" width="0" style="875" hidden="1" customWidth="1"/>
    <col min="4614" max="4615" width="7" style="875" customWidth="1"/>
    <col min="4616" max="4616" width="8.28515625" style="875" bestFit="1" customWidth="1"/>
    <col min="4617" max="4617" width="46" style="875" customWidth="1"/>
    <col min="4618" max="4632" width="5.5703125" style="875" customWidth="1"/>
    <col min="4633" max="4638" width="6.85546875" style="875" customWidth="1"/>
    <col min="4639" max="4868" width="9.140625" style="875"/>
    <col min="4869" max="4869" width="0" style="875" hidden="1" customWidth="1"/>
    <col min="4870" max="4871" width="7" style="875" customWidth="1"/>
    <col min="4872" max="4872" width="8.28515625" style="875" bestFit="1" customWidth="1"/>
    <col min="4873" max="4873" width="46" style="875" customWidth="1"/>
    <col min="4874" max="4888" width="5.5703125" style="875" customWidth="1"/>
    <col min="4889" max="4894" width="6.85546875" style="875" customWidth="1"/>
    <col min="4895" max="5124" width="9.140625" style="875"/>
    <col min="5125" max="5125" width="0" style="875" hidden="1" customWidth="1"/>
    <col min="5126" max="5127" width="7" style="875" customWidth="1"/>
    <col min="5128" max="5128" width="8.28515625" style="875" bestFit="1" customWidth="1"/>
    <col min="5129" max="5129" width="46" style="875" customWidth="1"/>
    <col min="5130" max="5144" width="5.5703125" style="875" customWidth="1"/>
    <col min="5145" max="5150" width="6.85546875" style="875" customWidth="1"/>
    <col min="5151" max="5380" width="9.140625" style="875"/>
    <col min="5381" max="5381" width="0" style="875" hidden="1" customWidth="1"/>
    <col min="5382" max="5383" width="7" style="875" customWidth="1"/>
    <col min="5384" max="5384" width="8.28515625" style="875" bestFit="1" customWidth="1"/>
    <col min="5385" max="5385" width="46" style="875" customWidth="1"/>
    <col min="5386" max="5400" width="5.5703125" style="875" customWidth="1"/>
    <col min="5401" max="5406" width="6.85546875" style="875" customWidth="1"/>
    <col min="5407" max="5636" width="9.140625" style="875"/>
    <col min="5637" max="5637" width="0" style="875" hidden="1" customWidth="1"/>
    <col min="5638" max="5639" width="7" style="875" customWidth="1"/>
    <col min="5640" max="5640" width="8.28515625" style="875" bestFit="1" customWidth="1"/>
    <col min="5641" max="5641" width="46" style="875" customWidth="1"/>
    <col min="5642" max="5656" width="5.5703125" style="875" customWidth="1"/>
    <col min="5657" max="5662" width="6.85546875" style="875" customWidth="1"/>
    <col min="5663" max="5892" width="9.140625" style="875"/>
    <col min="5893" max="5893" width="0" style="875" hidden="1" customWidth="1"/>
    <col min="5894" max="5895" width="7" style="875" customWidth="1"/>
    <col min="5896" max="5896" width="8.28515625" style="875" bestFit="1" customWidth="1"/>
    <col min="5897" max="5897" width="46" style="875" customWidth="1"/>
    <col min="5898" max="5912" width="5.5703125" style="875" customWidth="1"/>
    <col min="5913" max="5918" width="6.85546875" style="875" customWidth="1"/>
    <col min="5919" max="6148" width="9.140625" style="875"/>
    <col min="6149" max="6149" width="0" style="875" hidden="1" customWidth="1"/>
    <col min="6150" max="6151" width="7" style="875" customWidth="1"/>
    <col min="6152" max="6152" width="8.28515625" style="875" bestFit="1" customWidth="1"/>
    <col min="6153" max="6153" width="46" style="875" customWidth="1"/>
    <col min="6154" max="6168" width="5.5703125" style="875" customWidth="1"/>
    <col min="6169" max="6174" width="6.85546875" style="875" customWidth="1"/>
    <col min="6175" max="6404" width="9.140625" style="875"/>
    <col min="6405" max="6405" width="0" style="875" hidden="1" customWidth="1"/>
    <col min="6406" max="6407" width="7" style="875" customWidth="1"/>
    <col min="6408" max="6408" width="8.28515625" style="875" bestFit="1" customWidth="1"/>
    <col min="6409" max="6409" width="46" style="875" customWidth="1"/>
    <col min="6410" max="6424" width="5.5703125" style="875" customWidth="1"/>
    <col min="6425" max="6430" width="6.85546875" style="875" customWidth="1"/>
    <col min="6431" max="6660" width="9.140625" style="875"/>
    <col min="6661" max="6661" width="0" style="875" hidden="1" customWidth="1"/>
    <col min="6662" max="6663" width="7" style="875" customWidth="1"/>
    <col min="6664" max="6664" width="8.28515625" style="875" bestFit="1" customWidth="1"/>
    <col min="6665" max="6665" width="46" style="875" customWidth="1"/>
    <col min="6666" max="6680" width="5.5703125" style="875" customWidth="1"/>
    <col min="6681" max="6686" width="6.85546875" style="875" customWidth="1"/>
    <col min="6687" max="6916" width="9.140625" style="875"/>
    <col min="6917" max="6917" width="0" style="875" hidden="1" customWidth="1"/>
    <col min="6918" max="6919" width="7" style="875" customWidth="1"/>
    <col min="6920" max="6920" width="8.28515625" style="875" bestFit="1" customWidth="1"/>
    <col min="6921" max="6921" width="46" style="875" customWidth="1"/>
    <col min="6922" max="6936" width="5.5703125" style="875" customWidth="1"/>
    <col min="6937" max="6942" width="6.85546875" style="875" customWidth="1"/>
    <col min="6943" max="7172" width="9.140625" style="875"/>
    <col min="7173" max="7173" width="0" style="875" hidden="1" customWidth="1"/>
    <col min="7174" max="7175" width="7" style="875" customWidth="1"/>
    <col min="7176" max="7176" width="8.28515625" style="875" bestFit="1" customWidth="1"/>
    <col min="7177" max="7177" width="46" style="875" customWidth="1"/>
    <col min="7178" max="7192" width="5.5703125" style="875" customWidth="1"/>
    <col min="7193" max="7198" width="6.85546875" style="875" customWidth="1"/>
    <col min="7199" max="7428" width="9.140625" style="875"/>
    <col min="7429" max="7429" width="0" style="875" hidden="1" customWidth="1"/>
    <col min="7430" max="7431" width="7" style="875" customWidth="1"/>
    <col min="7432" max="7432" width="8.28515625" style="875" bestFit="1" customWidth="1"/>
    <col min="7433" max="7433" width="46" style="875" customWidth="1"/>
    <col min="7434" max="7448" width="5.5703125" style="875" customWidth="1"/>
    <col min="7449" max="7454" width="6.85546875" style="875" customWidth="1"/>
    <col min="7455" max="7684" width="9.140625" style="875"/>
    <col min="7685" max="7685" width="0" style="875" hidden="1" customWidth="1"/>
    <col min="7686" max="7687" width="7" style="875" customWidth="1"/>
    <col min="7688" max="7688" width="8.28515625" style="875" bestFit="1" customWidth="1"/>
    <col min="7689" max="7689" width="46" style="875" customWidth="1"/>
    <col min="7690" max="7704" width="5.5703125" style="875" customWidth="1"/>
    <col min="7705" max="7710" width="6.85546875" style="875" customWidth="1"/>
    <col min="7711" max="7940" width="9.140625" style="875"/>
    <col min="7941" max="7941" width="0" style="875" hidden="1" customWidth="1"/>
    <col min="7942" max="7943" width="7" style="875" customWidth="1"/>
    <col min="7944" max="7944" width="8.28515625" style="875" bestFit="1" customWidth="1"/>
    <col min="7945" max="7945" width="46" style="875" customWidth="1"/>
    <col min="7946" max="7960" width="5.5703125" style="875" customWidth="1"/>
    <col min="7961" max="7966" width="6.85546875" style="875" customWidth="1"/>
    <col min="7967" max="8196" width="9.140625" style="875"/>
    <col min="8197" max="8197" width="0" style="875" hidden="1" customWidth="1"/>
    <col min="8198" max="8199" width="7" style="875" customWidth="1"/>
    <col min="8200" max="8200" width="8.28515625" style="875" bestFit="1" customWidth="1"/>
    <col min="8201" max="8201" width="46" style="875" customWidth="1"/>
    <col min="8202" max="8216" width="5.5703125" style="875" customWidth="1"/>
    <col min="8217" max="8222" width="6.85546875" style="875" customWidth="1"/>
    <col min="8223" max="8452" width="9.140625" style="875"/>
    <col min="8453" max="8453" width="0" style="875" hidden="1" customWidth="1"/>
    <col min="8454" max="8455" width="7" style="875" customWidth="1"/>
    <col min="8456" max="8456" width="8.28515625" style="875" bestFit="1" customWidth="1"/>
    <col min="8457" max="8457" width="46" style="875" customWidth="1"/>
    <col min="8458" max="8472" width="5.5703125" style="875" customWidth="1"/>
    <col min="8473" max="8478" width="6.85546875" style="875" customWidth="1"/>
    <col min="8479" max="8708" width="9.140625" style="875"/>
    <col min="8709" max="8709" width="0" style="875" hidden="1" customWidth="1"/>
    <col min="8710" max="8711" width="7" style="875" customWidth="1"/>
    <col min="8712" max="8712" width="8.28515625" style="875" bestFit="1" customWidth="1"/>
    <col min="8713" max="8713" width="46" style="875" customWidth="1"/>
    <col min="8714" max="8728" width="5.5703125" style="875" customWidth="1"/>
    <col min="8729" max="8734" width="6.85546875" style="875" customWidth="1"/>
    <col min="8735" max="8964" width="9.140625" style="875"/>
    <col min="8965" max="8965" width="0" style="875" hidden="1" customWidth="1"/>
    <col min="8966" max="8967" width="7" style="875" customWidth="1"/>
    <col min="8968" max="8968" width="8.28515625" style="875" bestFit="1" customWidth="1"/>
    <col min="8969" max="8969" width="46" style="875" customWidth="1"/>
    <col min="8970" max="8984" width="5.5703125" style="875" customWidth="1"/>
    <col min="8985" max="8990" width="6.85546875" style="875" customWidth="1"/>
    <col min="8991" max="9220" width="9.140625" style="875"/>
    <col min="9221" max="9221" width="0" style="875" hidden="1" customWidth="1"/>
    <col min="9222" max="9223" width="7" style="875" customWidth="1"/>
    <col min="9224" max="9224" width="8.28515625" style="875" bestFit="1" customWidth="1"/>
    <col min="9225" max="9225" width="46" style="875" customWidth="1"/>
    <col min="9226" max="9240" width="5.5703125" style="875" customWidth="1"/>
    <col min="9241" max="9246" width="6.85546875" style="875" customWidth="1"/>
    <col min="9247" max="9476" width="9.140625" style="875"/>
    <col min="9477" max="9477" width="0" style="875" hidden="1" customWidth="1"/>
    <col min="9478" max="9479" width="7" style="875" customWidth="1"/>
    <col min="9480" max="9480" width="8.28515625" style="875" bestFit="1" customWidth="1"/>
    <col min="9481" max="9481" width="46" style="875" customWidth="1"/>
    <col min="9482" max="9496" width="5.5703125" style="875" customWidth="1"/>
    <col min="9497" max="9502" width="6.85546875" style="875" customWidth="1"/>
    <col min="9503" max="9732" width="9.140625" style="875"/>
    <col min="9733" max="9733" width="0" style="875" hidden="1" customWidth="1"/>
    <col min="9734" max="9735" width="7" style="875" customWidth="1"/>
    <col min="9736" max="9736" width="8.28515625" style="875" bestFit="1" customWidth="1"/>
    <col min="9737" max="9737" width="46" style="875" customWidth="1"/>
    <col min="9738" max="9752" width="5.5703125" style="875" customWidth="1"/>
    <col min="9753" max="9758" width="6.85546875" style="875" customWidth="1"/>
    <col min="9759" max="9988" width="9.140625" style="875"/>
    <col min="9989" max="9989" width="0" style="875" hidden="1" customWidth="1"/>
    <col min="9990" max="9991" width="7" style="875" customWidth="1"/>
    <col min="9992" max="9992" width="8.28515625" style="875" bestFit="1" customWidth="1"/>
    <col min="9993" max="9993" width="46" style="875" customWidth="1"/>
    <col min="9994" max="10008" width="5.5703125" style="875" customWidth="1"/>
    <col min="10009" max="10014" width="6.85546875" style="875" customWidth="1"/>
    <col min="10015" max="10244" width="9.140625" style="875"/>
    <col min="10245" max="10245" width="0" style="875" hidden="1" customWidth="1"/>
    <col min="10246" max="10247" width="7" style="875" customWidth="1"/>
    <col min="10248" max="10248" width="8.28515625" style="875" bestFit="1" customWidth="1"/>
    <col min="10249" max="10249" width="46" style="875" customWidth="1"/>
    <col min="10250" max="10264" width="5.5703125" style="875" customWidth="1"/>
    <col min="10265" max="10270" width="6.85546875" style="875" customWidth="1"/>
    <col min="10271" max="10500" width="9.140625" style="875"/>
    <col min="10501" max="10501" width="0" style="875" hidden="1" customWidth="1"/>
    <col min="10502" max="10503" width="7" style="875" customWidth="1"/>
    <col min="10504" max="10504" width="8.28515625" style="875" bestFit="1" customWidth="1"/>
    <col min="10505" max="10505" width="46" style="875" customWidth="1"/>
    <col min="10506" max="10520" width="5.5703125" style="875" customWidth="1"/>
    <col min="10521" max="10526" width="6.85546875" style="875" customWidth="1"/>
    <col min="10527" max="10756" width="9.140625" style="875"/>
    <col min="10757" max="10757" width="0" style="875" hidden="1" customWidth="1"/>
    <col min="10758" max="10759" width="7" style="875" customWidth="1"/>
    <col min="10760" max="10760" width="8.28515625" style="875" bestFit="1" customWidth="1"/>
    <col min="10761" max="10761" width="46" style="875" customWidth="1"/>
    <col min="10762" max="10776" width="5.5703125" style="875" customWidth="1"/>
    <col min="10777" max="10782" width="6.85546875" style="875" customWidth="1"/>
    <col min="10783" max="11012" width="9.140625" style="875"/>
    <col min="11013" max="11013" width="0" style="875" hidden="1" customWidth="1"/>
    <col min="11014" max="11015" width="7" style="875" customWidth="1"/>
    <col min="11016" max="11016" width="8.28515625" style="875" bestFit="1" customWidth="1"/>
    <col min="11017" max="11017" width="46" style="875" customWidth="1"/>
    <col min="11018" max="11032" width="5.5703125" style="875" customWidth="1"/>
    <col min="11033" max="11038" width="6.85546875" style="875" customWidth="1"/>
    <col min="11039" max="11268" width="9.140625" style="875"/>
    <col min="11269" max="11269" width="0" style="875" hidden="1" customWidth="1"/>
    <col min="11270" max="11271" width="7" style="875" customWidth="1"/>
    <col min="11272" max="11272" width="8.28515625" style="875" bestFit="1" customWidth="1"/>
    <col min="11273" max="11273" width="46" style="875" customWidth="1"/>
    <col min="11274" max="11288" width="5.5703125" style="875" customWidth="1"/>
    <col min="11289" max="11294" width="6.85546875" style="875" customWidth="1"/>
    <col min="11295" max="11524" width="9.140625" style="875"/>
    <col min="11525" max="11525" width="0" style="875" hidden="1" customWidth="1"/>
    <col min="11526" max="11527" width="7" style="875" customWidth="1"/>
    <col min="11528" max="11528" width="8.28515625" style="875" bestFit="1" customWidth="1"/>
    <col min="11529" max="11529" width="46" style="875" customWidth="1"/>
    <col min="11530" max="11544" width="5.5703125" style="875" customWidth="1"/>
    <col min="11545" max="11550" width="6.85546875" style="875" customWidth="1"/>
    <col min="11551" max="11780" width="9.140625" style="875"/>
    <col min="11781" max="11781" width="0" style="875" hidden="1" customWidth="1"/>
    <col min="11782" max="11783" width="7" style="875" customWidth="1"/>
    <col min="11784" max="11784" width="8.28515625" style="875" bestFit="1" customWidth="1"/>
    <col min="11785" max="11785" width="46" style="875" customWidth="1"/>
    <col min="11786" max="11800" width="5.5703125" style="875" customWidth="1"/>
    <col min="11801" max="11806" width="6.85546875" style="875" customWidth="1"/>
    <col min="11807" max="12036" width="9.140625" style="875"/>
    <col min="12037" max="12037" width="0" style="875" hidden="1" customWidth="1"/>
    <col min="12038" max="12039" width="7" style="875" customWidth="1"/>
    <col min="12040" max="12040" width="8.28515625" style="875" bestFit="1" customWidth="1"/>
    <col min="12041" max="12041" width="46" style="875" customWidth="1"/>
    <col min="12042" max="12056" width="5.5703125" style="875" customWidth="1"/>
    <col min="12057" max="12062" width="6.85546875" style="875" customWidth="1"/>
    <col min="12063" max="12292" width="9.140625" style="875"/>
    <col min="12293" max="12293" width="0" style="875" hidden="1" customWidth="1"/>
    <col min="12294" max="12295" width="7" style="875" customWidth="1"/>
    <col min="12296" max="12296" width="8.28515625" style="875" bestFit="1" customWidth="1"/>
    <col min="12297" max="12297" width="46" style="875" customWidth="1"/>
    <col min="12298" max="12312" width="5.5703125" style="875" customWidth="1"/>
    <col min="12313" max="12318" width="6.85546875" style="875" customWidth="1"/>
    <col min="12319" max="12548" width="9.140625" style="875"/>
    <col min="12549" max="12549" width="0" style="875" hidden="1" customWidth="1"/>
    <col min="12550" max="12551" width="7" style="875" customWidth="1"/>
    <col min="12552" max="12552" width="8.28515625" style="875" bestFit="1" customWidth="1"/>
    <col min="12553" max="12553" width="46" style="875" customWidth="1"/>
    <col min="12554" max="12568" width="5.5703125" style="875" customWidth="1"/>
    <col min="12569" max="12574" width="6.85546875" style="875" customWidth="1"/>
    <col min="12575" max="12804" width="9.140625" style="875"/>
    <col min="12805" max="12805" width="0" style="875" hidden="1" customWidth="1"/>
    <col min="12806" max="12807" width="7" style="875" customWidth="1"/>
    <col min="12808" max="12808" width="8.28515625" style="875" bestFit="1" customWidth="1"/>
    <col min="12809" max="12809" width="46" style="875" customWidth="1"/>
    <col min="12810" max="12824" width="5.5703125" style="875" customWidth="1"/>
    <col min="12825" max="12830" width="6.85546875" style="875" customWidth="1"/>
    <col min="12831" max="13060" width="9.140625" style="875"/>
    <col min="13061" max="13061" width="0" style="875" hidden="1" customWidth="1"/>
    <col min="13062" max="13063" width="7" style="875" customWidth="1"/>
    <col min="13064" max="13064" width="8.28515625" style="875" bestFit="1" customWidth="1"/>
    <col min="13065" max="13065" width="46" style="875" customWidth="1"/>
    <col min="13066" max="13080" width="5.5703125" style="875" customWidth="1"/>
    <col min="13081" max="13086" width="6.85546875" style="875" customWidth="1"/>
    <col min="13087" max="13316" width="9.140625" style="875"/>
    <col min="13317" max="13317" width="0" style="875" hidden="1" customWidth="1"/>
    <col min="13318" max="13319" width="7" style="875" customWidth="1"/>
    <col min="13320" max="13320" width="8.28515625" style="875" bestFit="1" customWidth="1"/>
    <col min="13321" max="13321" width="46" style="875" customWidth="1"/>
    <col min="13322" max="13336" width="5.5703125" style="875" customWidth="1"/>
    <col min="13337" max="13342" width="6.85546875" style="875" customWidth="1"/>
    <col min="13343" max="13572" width="9.140625" style="875"/>
    <col min="13573" max="13573" width="0" style="875" hidden="1" customWidth="1"/>
    <col min="13574" max="13575" width="7" style="875" customWidth="1"/>
    <col min="13576" max="13576" width="8.28515625" style="875" bestFit="1" customWidth="1"/>
    <col min="13577" max="13577" width="46" style="875" customWidth="1"/>
    <col min="13578" max="13592" width="5.5703125" style="875" customWidth="1"/>
    <col min="13593" max="13598" width="6.85546875" style="875" customWidth="1"/>
    <col min="13599" max="13828" width="9.140625" style="875"/>
    <col min="13829" max="13829" width="0" style="875" hidden="1" customWidth="1"/>
    <col min="13830" max="13831" width="7" style="875" customWidth="1"/>
    <col min="13832" max="13832" width="8.28515625" style="875" bestFit="1" customWidth="1"/>
    <col min="13833" max="13833" width="46" style="875" customWidth="1"/>
    <col min="13834" max="13848" width="5.5703125" style="875" customWidth="1"/>
    <col min="13849" max="13854" width="6.85546875" style="875" customWidth="1"/>
    <col min="13855" max="14084" width="9.140625" style="875"/>
    <col min="14085" max="14085" width="0" style="875" hidden="1" customWidth="1"/>
    <col min="14086" max="14087" width="7" style="875" customWidth="1"/>
    <col min="14088" max="14088" width="8.28515625" style="875" bestFit="1" customWidth="1"/>
    <col min="14089" max="14089" width="46" style="875" customWidth="1"/>
    <col min="14090" max="14104" width="5.5703125" style="875" customWidth="1"/>
    <col min="14105" max="14110" width="6.85546875" style="875" customWidth="1"/>
    <col min="14111" max="14340" width="9.140625" style="875"/>
    <col min="14341" max="14341" width="0" style="875" hidden="1" customWidth="1"/>
    <col min="14342" max="14343" width="7" style="875" customWidth="1"/>
    <col min="14344" max="14344" width="8.28515625" style="875" bestFit="1" customWidth="1"/>
    <col min="14345" max="14345" width="46" style="875" customWidth="1"/>
    <col min="14346" max="14360" width="5.5703125" style="875" customWidth="1"/>
    <col min="14361" max="14366" width="6.85546875" style="875" customWidth="1"/>
    <col min="14367" max="14596" width="9.140625" style="875"/>
    <col min="14597" max="14597" width="0" style="875" hidden="1" customWidth="1"/>
    <col min="14598" max="14599" width="7" style="875" customWidth="1"/>
    <col min="14600" max="14600" width="8.28515625" style="875" bestFit="1" customWidth="1"/>
    <col min="14601" max="14601" width="46" style="875" customWidth="1"/>
    <col min="14602" max="14616" width="5.5703125" style="875" customWidth="1"/>
    <col min="14617" max="14622" width="6.85546875" style="875" customWidth="1"/>
    <col min="14623" max="14852" width="9.140625" style="875"/>
    <col min="14853" max="14853" width="0" style="875" hidden="1" customWidth="1"/>
    <col min="14854" max="14855" width="7" style="875" customWidth="1"/>
    <col min="14856" max="14856" width="8.28515625" style="875" bestFit="1" customWidth="1"/>
    <col min="14857" max="14857" width="46" style="875" customWidth="1"/>
    <col min="14858" max="14872" width="5.5703125" style="875" customWidth="1"/>
    <col min="14873" max="14878" width="6.85546875" style="875" customWidth="1"/>
    <col min="14879" max="15108" width="9.140625" style="875"/>
    <col min="15109" max="15109" width="0" style="875" hidden="1" customWidth="1"/>
    <col min="15110" max="15111" width="7" style="875" customWidth="1"/>
    <col min="15112" max="15112" width="8.28515625" style="875" bestFit="1" customWidth="1"/>
    <col min="15113" max="15113" width="46" style="875" customWidth="1"/>
    <col min="15114" max="15128" width="5.5703125" style="875" customWidth="1"/>
    <col min="15129" max="15134" width="6.85546875" style="875" customWidth="1"/>
    <col min="15135" max="15364" width="9.140625" style="875"/>
    <col min="15365" max="15365" width="0" style="875" hidden="1" customWidth="1"/>
    <col min="15366" max="15367" width="7" style="875" customWidth="1"/>
    <col min="15368" max="15368" width="8.28515625" style="875" bestFit="1" customWidth="1"/>
    <col min="15369" max="15369" width="46" style="875" customWidth="1"/>
    <col min="15370" max="15384" width="5.5703125" style="875" customWidth="1"/>
    <col min="15385" max="15390" width="6.85546875" style="875" customWidth="1"/>
    <col min="15391" max="15620" width="9.140625" style="875"/>
    <col min="15621" max="15621" width="0" style="875" hidden="1" customWidth="1"/>
    <col min="15622" max="15623" width="7" style="875" customWidth="1"/>
    <col min="15624" max="15624" width="8.28515625" style="875" bestFit="1" customWidth="1"/>
    <col min="15625" max="15625" width="46" style="875" customWidth="1"/>
    <col min="15626" max="15640" width="5.5703125" style="875" customWidth="1"/>
    <col min="15641" max="15646" width="6.85546875" style="875" customWidth="1"/>
    <col min="15647" max="15876" width="9.140625" style="875"/>
    <col min="15877" max="15877" width="0" style="875" hidden="1" customWidth="1"/>
    <col min="15878" max="15879" width="7" style="875" customWidth="1"/>
    <col min="15880" max="15880" width="8.28515625" style="875" bestFit="1" customWidth="1"/>
    <col min="15881" max="15881" width="46" style="875" customWidth="1"/>
    <col min="15882" max="15896" width="5.5703125" style="875" customWidth="1"/>
    <col min="15897" max="15902" width="6.85546875" style="875" customWidth="1"/>
    <col min="15903" max="16132" width="9.140625" style="875"/>
    <col min="16133" max="16133" width="0" style="875" hidden="1" customWidth="1"/>
    <col min="16134" max="16135" width="7" style="875" customWidth="1"/>
    <col min="16136" max="16136" width="8.28515625" style="875" bestFit="1" customWidth="1"/>
    <col min="16137" max="16137" width="46" style="875" customWidth="1"/>
    <col min="16138" max="16152" width="5.5703125" style="875" customWidth="1"/>
    <col min="16153" max="16158" width="6.85546875" style="875" customWidth="1"/>
    <col min="16159" max="16384" width="9.140625" style="875"/>
  </cols>
  <sheetData>
    <row r="1" spans="1:40" s="824" customFormat="1" ht="18.75" customHeight="1" thickBot="1" x14ac:dyDescent="0.25">
      <c r="A1" s="820"/>
      <c r="B1" s="821" t="s">
        <v>936</v>
      </c>
      <c r="C1" s="822"/>
      <c r="D1" s="822"/>
      <c r="E1" s="823"/>
      <c r="F1" s="1325" t="s">
        <v>937</v>
      </c>
      <c r="G1" s="1326"/>
      <c r="H1" s="1326"/>
      <c r="I1" s="1326"/>
      <c r="J1" s="1326"/>
      <c r="K1" s="1326"/>
      <c r="L1" s="1326"/>
      <c r="M1" s="1326"/>
      <c r="N1" s="1326"/>
      <c r="O1" s="1326"/>
      <c r="P1" s="1326"/>
      <c r="Q1" s="1326"/>
      <c r="R1" s="1326"/>
      <c r="S1" s="1326"/>
      <c r="T1" s="1326"/>
      <c r="U1" s="1326"/>
      <c r="V1" s="1326"/>
      <c r="W1" s="1326"/>
      <c r="X1" s="1326"/>
      <c r="Y1" s="1326"/>
      <c r="Z1" s="1327" t="s">
        <v>938</v>
      </c>
      <c r="AA1" s="1329" t="s">
        <v>939</v>
      </c>
      <c r="AB1" s="1329" t="s">
        <v>940</v>
      </c>
      <c r="AC1" s="1329" t="s">
        <v>941</v>
      </c>
      <c r="AD1" s="1331" t="s">
        <v>942</v>
      </c>
      <c r="AE1" s="1319" t="s">
        <v>943</v>
      </c>
      <c r="AG1" s="825"/>
      <c r="AH1" s="825"/>
      <c r="AI1" s="825"/>
      <c r="AJ1" s="825"/>
      <c r="AK1" s="825"/>
      <c r="AL1" s="825"/>
      <c r="AM1" s="825"/>
      <c r="AN1" s="825"/>
    </row>
    <row r="2" spans="1:40" s="824" customFormat="1" ht="44.25" customHeight="1" thickBot="1" x14ac:dyDescent="0.25">
      <c r="A2" s="826"/>
      <c r="B2" s="827" t="s">
        <v>699</v>
      </c>
      <c r="C2" s="827" t="s">
        <v>944</v>
      </c>
      <c r="D2" s="828" t="s">
        <v>945</v>
      </c>
      <c r="E2" s="829" t="s">
        <v>946</v>
      </c>
      <c r="F2" s="830" t="s">
        <v>947</v>
      </c>
      <c r="G2" s="831" t="s">
        <v>948</v>
      </c>
      <c r="H2" s="830">
        <v>1</v>
      </c>
      <c r="I2" s="830">
        <v>2</v>
      </c>
      <c r="J2" s="832" t="s">
        <v>949</v>
      </c>
      <c r="K2" s="830">
        <v>3</v>
      </c>
      <c r="L2" s="830">
        <v>4</v>
      </c>
      <c r="M2" s="830">
        <v>5</v>
      </c>
      <c r="N2" s="830">
        <v>6</v>
      </c>
      <c r="O2" s="832" t="s">
        <v>950</v>
      </c>
      <c r="P2" s="833">
        <v>7</v>
      </c>
      <c r="Q2" s="833">
        <v>8</v>
      </c>
      <c r="R2" s="833">
        <v>9</v>
      </c>
      <c r="S2" s="832" t="s">
        <v>951</v>
      </c>
      <c r="T2" s="833">
        <v>10</v>
      </c>
      <c r="U2" s="833">
        <v>11</v>
      </c>
      <c r="V2" s="832" t="s">
        <v>952</v>
      </c>
      <c r="W2" s="834">
        <v>12</v>
      </c>
      <c r="X2" s="834">
        <v>13</v>
      </c>
      <c r="Y2" s="835">
        <v>14</v>
      </c>
      <c r="Z2" s="1328"/>
      <c r="AA2" s="1330"/>
      <c r="AB2" s="1330"/>
      <c r="AC2" s="1330"/>
      <c r="AD2" s="1332"/>
      <c r="AE2" s="1320"/>
      <c r="AG2" s="825" t="s">
        <v>947</v>
      </c>
      <c r="AH2" s="825" t="s">
        <v>953</v>
      </c>
      <c r="AI2" s="825" t="s">
        <v>954</v>
      </c>
      <c r="AJ2" s="825" t="s">
        <v>901</v>
      </c>
      <c r="AK2" s="825" t="s">
        <v>902</v>
      </c>
      <c r="AL2" s="825" t="s">
        <v>955</v>
      </c>
      <c r="AM2" s="836" t="s">
        <v>956</v>
      </c>
      <c r="AN2" s="825" t="s">
        <v>517</v>
      </c>
    </row>
    <row r="3" spans="1:40" s="824" customFormat="1" ht="13.5" thickBot="1" x14ac:dyDescent="0.25">
      <c r="A3" s="837">
        <v>8312400</v>
      </c>
      <c r="B3" s="838">
        <v>2012</v>
      </c>
      <c r="C3" s="839" t="s">
        <v>266</v>
      </c>
      <c r="D3" s="840" t="s">
        <v>656</v>
      </c>
      <c r="E3" s="841" t="s">
        <v>10</v>
      </c>
      <c r="F3" s="842">
        <v>55</v>
      </c>
      <c r="G3" s="843"/>
      <c r="H3" s="844">
        <v>58</v>
      </c>
      <c r="I3" s="844">
        <v>58</v>
      </c>
      <c r="J3" s="844"/>
      <c r="K3" s="844">
        <v>52</v>
      </c>
      <c r="L3" s="844">
        <v>52</v>
      </c>
      <c r="M3" s="844">
        <v>42</v>
      </c>
      <c r="N3" s="844">
        <v>41</v>
      </c>
      <c r="O3" s="845"/>
      <c r="P3" s="844">
        <v>0</v>
      </c>
      <c r="Q3" s="844">
        <v>0</v>
      </c>
      <c r="R3" s="844">
        <v>0</v>
      </c>
      <c r="S3" s="844"/>
      <c r="T3" s="844">
        <v>0</v>
      </c>
      <c r="U3" s="844">
        <v>0</v>
      </c>
      <c r="V3" s="844"/>
      <c r="W3" s="844">
        <v>0</v>
      </c>
      <c r="X3" s="844">
        <v>0</v>
      </c>
      <c r="Y3" s="846">
        <v>0</v>
      </c>
      <c r="Z3" s="847">
        <f t="shared" ref="Z3:Z34" si="0">SUM(F3:O3)</f>
        <v>358</v>
      </c>
      <c r="AA3" s="848">
        <f>SUM(P3:S3)</f>
        <v>0</v>
      </c>
      <c r="AB3" s="848">
        <f>SUM(T3:V3)</f>
        <v>0</v>
      </c>
      <c r="AC3" s="849">
        <f t="shared" ref="AC3:AC66" si="1">SUM(F3:V3)</f>
        <v>358</v>
      </c>
      <c r="AD3" s="850">
        <f t="shared" ref="AD3:AD66" si="2">SUM(W3:Y3)</f>
        <v>0</v>
      </c>
      <c r="AE3" s="851">
        <f t="shared" ref="AE3:AE66" si="3">SUM(AC3:AD3)</f>
        <v>358</v>
      </c>
      <c r="AG3" s="852">
        <f>F3+G3</f>
        <v>55</v>
      </c>
      <c r="AH3" s="852">
        <f t="shared" ref="AH3:AH66" si="4">H3+I3+J3</f>
        <v>116</v>
      </c>
      <c r="AI3" s="852">
        <f>K3+L3+M3+N3+O3</f>
        <v>187</v>
      </c>
      <c r="AJ3" s="852">
        <f>SUM(P3:S3)</f>
        <v>0</v>
      </c>
      <c r="AK3" s="852">
        <f>SUM(T3:V3)</f>
        <v>0</v>
      </c>
      <c r="AL3" s="852">
        <f>SUM(W3:Y3)</f>
        <v>0</v>
      </c>
      <c r="AM3" s="853">
        <f>SUM(AG3:AK3)</f>
        <v>358</v>
      </c>
      <c r="AN3" s="852">
        <f>AM3+AL3</f>
        <v>358</v>
      </c>
    </row>
    <row r="4" spans="1:40" s="824" customFormat="1" ht="13.5" thickBot="1" x14ac:dyDescent="0.25">
      <c r="A4" s="837">
        <v>8315414</v>
      </c>
      <c r="B4" s="854">
        <v>5414</v>
      </c>
      <c r="C4" s="855" t="s">
        <v>203</v>
      </c>
      <c r="D4" s="856"/>
      <c r="E4" s="857" t="s">
        <v>73</v>
      </c>
      <c r="F4" s="858">
        <v>0</v>
      </c>
      <c r="G4" s="859"/>
      <c r="H4" s="860">
        <v>0</v>
      </c>
      <c r="I4" s="860">
        <v>0</v>
      </c>
      <c r="J4" s="860"/>
      <c r="K4" s="860">
        <v>0</v>
      </c>
      <c r="L4" s="860">
        <v>0</v>
      </c>
      <c r="M4" s="860">
        <v>0</v>
      </c>
      <c r="N4" s="860">
        <v>0</v>
      </c>
      <c r="O4" s="860"/>
      <c r="P4" s="860">
        <v>226</v>
      </c>
      <c r="Q4" s="860">
        <v>205</v>
      </c>
      <c r="R4" s="860">
        <v>212</v>
      </c>
      <c r="S4" s="860"/>
      <c r="T4" s="860">
        <v>211</v>
      </c>
      <c r="U4" s="860">
        <v>201</v>
      </c>
      <c r="V4" s="860"/>
      <c r="W4" s="860">
        <v>115</v>
      </c>
      <c r="X4" s="860">
        <v>104</v>
      </c>
      <c r="Y4" s="861">
        <v>0</v>
      </c>
      <c r="Z4" s="862">
        <f t="shared" si="0"/>
        <v>0</v>
      </c>
      <c r="AA4" s="848">
        <f t="shared" ref="AA4:AA67" si="5">SUM(P4:S4)</f>
        <v>643</v>
      </c>
      <c r="AB4" s="848">
        <f t="shared" ref="AB4:AB67" si="6">SUM(T4:V4)</f>
        <v>412</v>
      </c>
      <c r="AC4" s="849">
        <f t="shared" si="1"/>
        <v>1055</v>
      </c>
      <c r="AD4" s="863">
        <f t="shared" si="2"/>
        <v>219</v>
      </c>
      <c r="AE4" s="864">
        <f t="shared" si="3"/>
        <v>1274</v>
      </c>
      <c r="AG4" s="852">
        <f t="shared" ref="AG4:AG67" si="7">F4+G4</f>
        <v>0</v>
      </c>
      <c r="AH4" s="852">
        <f t="shared" si="4"/>
        <v>0</v>
      </c>
      <c r="AI4" s="852">
        <f t="shared" ref="AI4:AI67" si="8">K4+L4+M4+N4+O4</f>
        <v>0</v>
      </c>
      <c r="AJ4" s="852">
        <f t="shared" ref="AJ4:AJ67" si="9">SUM(P4:S4)</f>
        <v>643</v>
      </c>
      <c r="AK4" s="852">
        <f t="shared" ref="AK4:AK67" si="10">SUM(T4:V4)</f>
        <v>412</v>
      </c>
      <c r="AL4" s="852">
        <f t="shared" ref="AL4:AL67" si="11">SUM(W4:Y4)</f>
        <v>219</v>
      </c>
      <c r="AM4" s="853">
        <f t="shared" ref="AM4:AM67" si="12">SUM(AG4:AK4)</f>
        <v>1055</v>
      </c>
      <c r="AN4" s="852">
        <f t="shared" ref="AN4:AN67" si="13">AM4+AL4</f>
        <v>1274</v>
      </c>
    </row>
    <row r="5" spans="1:40" s="824" customFormat="1" ht="13.5" thickBot="1" x14ac:dyDescent="0.25">
      <c r="A5" s="837">
        <v>8314000</v>
      </c>
      <c r="B5" s="854">
        <v>4000</v>
      </c>
      <c r="C5" s="855" t="s">
        <v>266</v>
      </c>
      <c r="D5" s="856"/>
      <c r="E5" s="857" t="s">
        <v>957</v>
      </c>
      <c r="F5" s="858">
        <v>22</v>
      </c>
      <c r="G5" s="865"/>
      <c r="H5" s="860">
        <v>40</v>
      </c>
      <c r="I5" s="860">
        <v>43</v>
      </c>
      <c r="J5" s="866"/>
      <c r="K5" s="860">
        <v>23</v>
      </c>
      <c r="L5" s="860">
        <v>31</v>
      </c>
      <c r="M5" s="860">
        <v>0</v>
      </c>
      <c r="N5" s="860">
        <v>0</v>
      </c>
      <c r="O5" s="866"/>
      <c r="P5" s="866">
        <v>0</v>
      </c>
      <c r="Q5" s="866">
        <v>0</v>
      </c>
      <c r="R5" s="866">
        <v>0</v>
      </c>
      <c r="S5" s="866"/>
      <c r="T5" s="866">
        <v>0</v>
      </c>
      <c r="U5" s="866">
        <v>0</v>
      </c>
      <c r="V5" s="866"/>
      <c r="W5" s="866">
        <v>0</v>
      </c>
      <c r="X5" s="866">
        <v>0</v>
      </c>
      <c r="Y5" s="867">
        <v>0</v>
      </c>
      <c r="Z5" s="862">
        <f t="shared" si="0"/>
        <v>159</v>
      </c>
      <c r="AA5" s="848">
        <f t="shared" si="5"/>
        <v>0</v>
      </c>
      <c r="AB5" s="848">
        <f t="shared" si="6"/>
        <v>0</v>
      </c>
      <c r="AC5" s="849">
        <f t="shared" si="1"/>
        <v>159</v>
      </c>
      <c r="AD5" s="868">
        <f t="shared" si="2"/>
        <v>0</v>
      </c>
      <c r="AE5" s="864">
        <f t="shared" si="3"/>
        <v>159</v>
      </c>
      <c r="AG5" s="852">
        <f t="shared" si="7"/>
        <v>22</v>
      </c>
      <c r="AH5" s="852">
        <f t="shared" si="4"/>
        <v>83</v>
      </c>
      <c r="AI5" s="852">
        <f t="shared" si="8"/>
        <v>54</v>
      </c>
      <c r="AJ5" s="852">
        <f t="shared" si="9"/>
        <v>0</v>
      </c>
      <c r="AK5" s="852">
        <f t="shared" si="10"/>
        <v>0</v>
      </c>
      <c r="AL5" s="852">
        <f t="shared" si="11"/>
        <v>0</v>
      </c>
      <c r="AM5" s="853">
        <f t="shared" si="12"/>
        <v>159</v>
      </c>
      <c r="AN5" s="852">
        <f t="shared" si="13"/>
        <v>159</v>
      </c>
    </row>
    <row r="6" spans="1:40" s="824" customFormat="1" ht="13.5" thickBot="1" x14ac:dyDescent="0.25">
      <c r="A6" s="837">
        <v>8312443</v>
      </c>
      <c r="B6" s="854">
        <v>2443</v>
      </c>
      <c r="C6" s="855" t="s">
        <v>266</v>
      </c>
      <c r="D6" s="856" t="s">
        <v>202</v>
      </c>
      <c r="E6" s="857" t="s">
        <v>11</v>
      </c>
      <c r="F6" s="858">
        <v>90</v>
      </c>
      <c r="G6" s="869"/>
      <c r="H6" s="860">
        <v>81</v>
      </c>
      <c r="I6" s="860">
        <v>84</v>
      </c>
      <c r="J6" s="860"/>
      <c r="K6" s="860">
        <v>0</v>
      </c>
      <c r="L6" s="860">
        <v>0</v>
      </c>
      <c r="M6" s="860">
        <v>0</v>
      </c>
      <c r="N6" s="860">
        <v>0</v>
      </c>
      <c r="O6" s="860"/>
      <c r="P6" s="860">
        <v>0</v>
      </c>
      <c r="Q6" s="860">
        <v>0</v>
      </c>
      <c r="R6" s="860">
        <v>0</v>
      </c>
      <c r="S6" s="860"/>
      <c r="T6" s="860">
        <v>0</v>
      </c>
      <c r="U6" s="860">
        <v>0</v>
      </c>
      <c r="V6" s="860"/>
      <c r="W6" s="860">
        <v>0</v>
      </c>
      <c r="X6" s="860">
        <v>0</v>
      </c>
      <c r="Y6" s="861">
        <v>0</v>
      </c>
      <c r="Z6" s="862">
        <f t="shared" si="0"/>
        <v>255</v>
      </c>
      <c r="AA6" s="848">
        <f t="shared" si="5"/>
        <v>0</v>
      </c>
      <c r="AB6" s="848">
        <f t="shared" si="6"/>
        <v>0</v>
      </c>
      <c r="AC6" s="849">
        <f t="shared" si="1"/>
        <v>255</v>
      </c>
      <c r="AD6" s="863">
        <f t="shared" si="2"/>
        <v>0</v>
      </c>
      <c r="AE6" s="864">
        <f t="shared" si="3"/>
        <v>255</v>
      </c>
      <c r="AG6" s="852">
        <f t="shared" si="7"/>
        <v>90</v>
      </c>
      <c r="AH6" s="852">
        <f t="shared" si="4"/>
        <v>165</v>
      </c>
      <c r="AI6" s="852">
        <f t="shared" si="8"/>
        <v>0</v>
      </c>
      <c r="AJ6" s="852">
        <f t="shared" si="9"/>
        <v>0</v>
      </c>
      <c r="AK6" s="852">
        <f t="shared" si="10"/>
        <v>0</v>
      </c>
      <c r="AL6" s="852">
        <f t="shared" si="11"/>
        <v>0</v>
      </c>
      <c r="AM6" s="853">
        <f t="shared" si="12"/>
        <v>255</v>
      </c>
      <c r="AN6" s="852">
        <f t="shared" si="13"/>
        <v>255</v>
      </c>
    </row>
    <row r="7" spans="1:40" s="824" customFormat="1" ht="13.5" thickBot="1" x14ac:dyDescent="0.25">
      <c r="A7" s="837">
        <v>8312442</v>
      </c>
      <c r="B7" s="854">
        <v>2442</v>
      </c>
      <c r="C7" s="855" t="s">
        <v>266</v>
      </c>
      <c r="D7" s="856" t="s">
        <v>958</v>
      </c>
      <c r="E7" s="857" t="s">
        <v>12</v>
      </c>
      <c r="F7" s="858">
        <v>0</v>
      </c>
      <c r="G7" s="859"/>
      <c r="H7" s="860">
        <v>0</v>
      </c>
      <c r="I7" s="860">
        <v>0</v>
      </c>
      <c r="J7" s="860"/>
      <c r="K7" s="860">
        <v>81</v>
      </c>
      <c r="L7" s="860">
        <v>86</v>
      </c>
      <c r="M7" s="860">
        <v>69</v>
      </c>
      <c r="N7" s="860">
        <v>85</v>
      </c>
      <c r="O7" s="870"/>
      <c r="P7" s="860">
        <v>0</v>
      </c>
      <c r="Q7" s="860">
        <v>0</v>
      </c>
      <c r="R7" s="860">
        <v>0</v>
      </c>
      <c r="S7" s="860"/>
      <c r="T7" s="860">
        <v>0</v>
      </c>
      <c r="U7" s="860">
        <v>0</v>
      </c>
      <c r="V7" s="860"/>
      <c r="W7" s="860">
        <v>0</v>
      </c>
      <c r="X7" s="860">
        <v>0</v>
      </c>
      <c r="Y7" s="861">
        <v>0</v>
      </c>
      <c r="Z7" s="862">
        <f t="shared" si="0"/>
        <v>321</v>
      </c>
      <c r="AA7" s="848">
        <f t="shared" si="5"/>
        <v>0</v>
      </c>
      <c r="AB7" s="848">
        <f t="shared" si="6"/>
        <v>0</v>
      </c>
      <c r="AC7" s="849">
        <f t="shared" si="1"/>
        <v>321</v>
      </c>
      <c r="AD7" s="863">
        <f t="shared" si="2"/>
        <v>0</v>
      </c>
      <c r="AE7" s="864">
        <f t="shared" si="3"/>
        <v>321</v>
      </c>
      <c r="AG7" s="852">
        <f t="shared" si="7"/>
        <v>0</v>
      </c>
      <c r="AH7" s="852">
        <f t="shared" si="4"/>
        <v>0</v>
      </c>
      <c r="AI7" s="852">
        <f t="shared" si="8"/>
        <v>321</v>
      </c>
      <c r="AJ7" s="852">
        <f t="shared" si="9"/>
        <v>0</v>
      </c>
      <c r="AK7" s="852">
        <f t="shared" si="10"/>
        <v>0</v>
      </c>
      <c r="AL7" s="852">
        <f t="shared" si="11"/>
        <v>0</v>
      </c>
      <c r="AM7" s="853">
        <f t="shared" si="12"/>
        <v>321</v>
      </c>
      <c r="AN7" s="852">
        <f t="shared" si="13"/>
        <v>321</v>
      </c>
    </row>
    <row r="8" spans="1:40" s="824" customFormat="1" ht="13.5" thickBot="1" x14ac:dyDescent="0.25">
      <c r="A8" s="837">
        <v>8312629</v>
      </c>
      <c r="B8" s="854">
        <v>2629</v>
      </c>
      <c r="C8" s="855" t="s">
        <v>266</v>
      </c>
      <c r="D8" s="856" t="s">
        <v>204</v>
      </c>
      <c r="E8" s="857" t="s">
        <v>13</v>
      </c>
      <c r="F8" s="858">
        <v>74</v>
      </c>
      <c r="G8" s="859"/>
      <c r="H8" s="860">
        <v>75</v>
      </c>
      <c r="I8" s="860">
        <v>75</v>
      </c>
      <c r="J8" s="860"/>
      <c r="K8" s="860">
        <v>75</v>
      </c>
      <c r="L8" s="860">
        <v>45</v>
      </c>
      <c r="M8" s="860">
        <v>47</v>
      </c>
      <c r="N8" s="860">
        <v>45</v>
      </c>
      <c r="O8" s="860"/>
      <c r="P8" s="860">
        <v>0</v>
      </c>
      <c r="Q8" s="860">
        <v>0</v>
      </c>
      <c r="R8" s="860">
        <v>0</v>
      </c>
      <c r="S8" s="860"/>
      <c r="T8" s="860">
        <v>0</v>
      </c>
      <c r="U8" s="860">
        <v>0</v>
      </c>
      <c r="V8" s="860"/>
      <c r="W8" s="860">
        <v>0</v>
      </c>
      <c r="X8" s="860">
        <v>0</v>
      </c>
      <c r="Y8" s="861">
        <v>0</v>
      </c>
      <c r="Z8" s="862">
        <f t="shared" si="0"/>
        <v>436</v>
      </c>
      <c r="AA8" s="848">
        <f t="shared" si="5"/>
        <v>0</v>
      </c>
      <c r="AB8" s="848">
        <f t="shared" si="6"/>
        <v>0</v>
      </c>
      <c r="AC8" s="849">
        <f t="shared" si="1"/>
        <v>436</v>
      </c>
      <c r="AD8" s="863">
        <f t="shared" si="2"/>
        <v>0</v>
      </c>
      <c r="AE8" s="864">
        <f t="shared" si="3"/>
        <v>436</v>
      </c>
      <c r="AG8" s="852">
        <f t="shared" si="7"/>
        <v>74</v>
      </c>
      <c r="AH8" s="852">
        <f t="shared" si="4"/>
        <v>150</v>
      </c>
      <c r="AI8" s="852">
        <f t="shared" si="8"/>
        <v>212</v>
      </c>
      <c r="AJ8" s="852">
        <f t="shared" si="9"/>
        <v>0</v>
      </c>
      <c r="AK8" s="852">
        <f t="shared" si="10"/>
        <v>0</v>
      </c>
      <c r="AL8" s="852">
        <f t="shared" si="11"/>
        <v>0</v>
      </c>
      <c r="AM8" s="853">
        <f t="shared" si="12"/>
        <v>436</v>
      </c>
      <c r="AN8" s="852">
        <f t="shared" si="13"/>
        <v>436</v>
      </c>
    </row>
    <row r="9" spans="1:40" s="824" customFormat="1" ht="13.5" thickBot="1" x14ac:dyDescent="0.25">
      <c r="A9" s="837">
        <v>8312509</v>
      </c>
      <c r="B9" s="854">
        <v>2509</v>
      </c>
      <c r="C9" s="855" t="s">
        <v>266</v>
      </c>
      <c r="D9" s="856" t="s">
        <v>657</v>
      </c>
      <c r="E9" s="857" t="s">
        <v>14</v>
      </c>
      <c r="F9" s="858">
        <v>40</v>
      </c>
      <c r="G9" s="859"/>
      <c r="H9" s="860">
        <v>29</v>
      </c>
      <c r="I9" s="860">
        <v>31</v>
      </c>
      <c r="J9" s="860">
        <v>-1</v>
      </c>
      <c r="K9" s="860">
        <v>24</v>
      </c>
      <c r="L9" s="860">
        <v>29</v>
      </c>
      <c r="M9" s="860">
        <v>25</v>
      </c>
      <c r="N9" s="860">
        <v>18</v>
      </c>
      <c r="O9" s="860"/>
      <c r="P9" s="860">
        <v>0</v>
      </c>
      <c r="Q9" s="860">
        <v>0</v>
      </c>
      <c r="R9" s="860">
        <v>0</v>
      </c>
      <c r="S9" s="860"/>
      <c r="T9" s="860">
        <v>0</v>
      </c>
      <c r="U9" s="860">
        <v>0</v>
      </c>
      <c r="V9" s="860"/>
      <c r="W9" s="860">
        <v>0</v>
      </c>
      <c r="X9" s="860">
        <v>0</v>
      </c>
      <c r="Y9" s="861">
        <v>0</v>
      </c>
      <c r="Z9" s="871">
        <f t="shared" si="0"/>
        <v>195</v>
      </c>
      <c r="AA9" s="848">
        <f t="shared" si="5"/>
        <v>0</v>
      </c>
      <c r="AB9" s="848">
        <f t="shared" si="6"/>
        <v>0</v>
      </c>
      <c r="AC9" s="849">
        <f t="shared" si="1"/>
        <v>195</v>
      </c>
      <c r="AD9" s="872">
        <f t="shared" si="2"/>
        <v>0</v>
      </c>
      <c r="AE9" s="873">
        <f t="shared" si="3"/>
        <v>195</v>
      </c>
      <c r="AG9" s="852">
        <f t="shared" si="7"/>
        <v>40</v>
      </c>
      <c r="AH9" s="852">
        <f t="shared" si="4"/>
        <v>59</v>
      </c>
      <c r="AI9" s="852">
        <f t="shared" si="8"/>
        <v>96</v>
      </c>
      <c r="AJ9" s="852">
        <f t="shared" si="9"/>
        <v>0</v>
      </c>
      <c r="AK9" s="852">
        <f t="shared" si="10"/>
        <v>0</v>
      </c>
      <c r="AL9" s="852">
        <f t="shared" si="11"/>
        <v>0</v>
      </c>
      <c r="AM9" s="853">
        <f t="shared" si="12"/>
        <v>195</v>
      </c>
      <c r="AN9" s="852">
        <f t="shared" si="13"/>
        <v>195</v>
      </c>
    </row>
    <row r="10" spans="1:40" s="824" customFormat="1" ht="13.5" thickBot="1" x14ac:dyDescent="0.25">
      <c r="A10" s="837">
        <v>8311014</v>
      </c>
      <c r="B10" s="854">
        <v>1014</v>
      </c>
      <c r="C10" s="855" t="s">
        <v>959</v>
      </c>
      <c r="D10" s="856" t="s">
        <v>205</v>
      </c>
      <c r="E10" s="857" t="s">
        <v>2</v>
      </c>
      <c r="F10" s="858">
        <v>4</v>
      </c>
      <c r="G10" s="859"/>
      <c r="H10" s="860">
        <v>0</v>
      </c>
      <c r="I10" s="860">
        <v>0</v>
      </c>
      <c r="J10" s="860"/>
      <c r="K10" s="860">
        <v>0</v>
      </c>
      <c r="L10" s="860">
        <v>0</v>
      </c>
      <c r="M10" s="860">
        <v>0</v>
      </c>
      <c r="N10" s="860">
        <v>0</v>
      </c>
      <c r="O10" s="860"/>
      <c r="P10" s="860">
        <v>0</v>
      </c>
      <c r="Q10" s="860">
        <v>0</v>
      </c>
      <c r="R10" s="860">
        <v>0</v>
      </c>
      <c r="S10" s="860"/>
      <c r="T10" s="860">
        <v>0</v>
      </c>
      <c r="U10" s="860">
        <v>0</v>
      </c>
      <c r="V10" s="860"/>
      <c r="W10" s="860">
        <v>0</v>
      </c>
      <c r="X10" s="860">
        <v>0</v>
      </c>
      <c r="Y10" s="861">
        <v>0</v>
      </c>
      <c r="Z10" s="862">
        <f t="shared" si="0"/>
        <v>4</v>
      </c>
      <c r="AA10" s="848">
        <f t="shared" si="5"/>
        <v>0</v>
      </c>
      <c r="AB10" s="848">
        <f t="shared" si="6"/>
        <v>0</v>
      </c>
      <c r="AC10" s="849">
        <f t="shared" si="1"/>
        <v>4</v>
      </c>
      <c r="AD10" s="863">
        <f t="shared" si="2"/>
        <v>0</v>
      </c>
      <c r="AE10" s="864">
        <f t="shared" si="3"/>
        <v>4</v>
      </c>
      <c r="AG10" s="852">
        <f t="shared" si="7"/>
        <v>4</v>
      </c>
      <c r="AH10" s="852">
        <f t="shared" si="4"/>
        <v>0</v>
      </c>
      <c r="AI10" s="852">
        <f t="shared" si="8"/>
        <v>0</v>
      </c>
      <c r="AJ10" s="852">
        <f t="shared" si="9"/>
        <v>0</v>
      </c>
      <c r="AK10" s="852">
        <f t="shared" si="10"/>
        <v>0</v>
      </c>
      <c r="AL10" s="852">
        <f t="shared" si="11"/>
        <v>0</v>
      </c>
      <c r="AM10" s="853">
        <f t="shared" si="12"/>
        <v>4</v>
      </c>
      <c r="AN10" s="852">
        <f t="shared" si="13"/>
        <v>4</v>
      </c>
    </row>
    <row r="11" spans="1:40" s="824" customFormat="1" ht="13.5" thickBot="1" x14ac:dyDescent="0.25">
      <c r="A11" s="837">
        <v>8312005</v>
      </c>
      <c r="B11" s="854">
        <v>2005</v>
      </c>
      <c r="C11" s="855" t="s">
        <v>266</v>
      </c>
      <c r="D11" s="856" t="s">
        <v>960</v>
      </c>
      <c r="E11" s="857" t="s">
        <v>15</v>
      </c>
      <c r="F11" s="858">
        <v>45</v>
      </c>
      <c r="G11" s="859"/>
      <c r="H11" s="860">
        <v>52</v>
      </c>
      <c r="I11" s="860">
        <v>59</v>
      </c>
      <c r="J11" s="860"/>
      <c r="K11" s="860">
        <v>42</v>
      </c>
      <c r="L11" s="860">
        <v>44</v>
      </c>
      <c r="M11" s="860">
        <v>41</v>
      </c>
      <c r="N11" s="860">
        <v>40</v>
      </c>
      <c r="O11" s="860"/>
      <c r="P11" s="860">
        <v>0</v>
      </c>
      <c r="Q11" s="860">
        <v>0</v>
      </c>
      <c r="R11" s="860">
        <v>0</v>
      </c>
      <c r="S11" s="860"/>
      <c r="T11" s="860">
        <v>0</v>
      </c>
      <c r="U11" s="860">
        <v>0</v>
      </c>
      <c r="V11" s="860"/>
      <c r="W11" s="860">
        <v>0</v>
      </c>
      <c r="X11" s="860">
        <v>0</v>
      </c>
      <c r="Y11" s="861">
        <v>0</v>
      </c>
      <c r="Z11" s="862">
        <f t="shared" si="0"/>
        <v>323</v>
      </c>
      <c r="AA11" s="848">
        <f t="shared" si="5"/>
        <v>0</v>
      </c>
      <c r="AB11" s="848">
        <f t="shared" si="6"/>
        <v>0</v>
      </c>
      <c r="AC11" s="849">
        <f t="shared" si="1"/>
        <v>323</v>
      </c>
      <c r="AD11" s="863">
        <f t="shared" si="2"/>
        <v>0</v>
      </c>
      <c r="AE11" s="864">
        <f t="shared" si="3"/>
        <v>323</v>
      </c>
      <c r="AG11" s="852">
        <f t="shared" si="7"/>
        <v>45</v>
      </c>
      <c r="AH11" s="852">
        <f t="shared" si="4"/>
        <v>111</v>
      </c>
      <c r="AI11" s="852">
        <f t="shared" si="8"/>
        <v>167</v>
      </c>
      <c r="AJ11" s="852">
        <f t="shared" si="9"/>
        <v>0</v>
      </c>
      <c r="AK11" s="852">
        <f t="shared" si="10"/>
        <v>0</v>
      </c>
      <c r="AL11" s="852">
        <f t="shared" si="11"/>
        <v>0</v>
      </c>
      <c r="AM11" s="853">
        <f t="shared" si="12"/>
        <v>323</v>
      </c>
      <c r="AN11" s="852">
        <f t="shared" si="13"/>
        <v>323</v>
      </c>
    </row>
    <row r="12" spans="1:40" s="824" customFormat="1" ht="13.5" thickBot="1" x14ac:dyDescent="0.25">
      <c r="A12" s="837">
        <v>8312464</v>
      </c>
      <c r="B12" s="854">
        <v>2464</v>
      </c>
      <c r="C12" s="855" t="s">
        <v>266</v>
      </c>
      <c r="D12" s="856" t="s">
        <v>207</v>
      </c>
      <c r="E12" s="857" t="s">
        <v>16</v>
      </c>
      <c r="F12" s="858">
        <v>28</v>
      </c>
      <c r="G12" s="859"/>
      <c r="H12" s="860">
        <v>30</v>
      </c>
      <c r="I12" s="860">
        <v>32</v>
      </c>
      <c r="J12" s="860"/>
      <c r="K12" s="860">
        <v>31</v>
      </c>
      <c r="L12" s="860">
        <v>29</v>
      </c>
      <c r="M12" s="860">
        <v>19</v>
      </c>
      <c r="N12" s="860">
        <v>23</v>
      </c>
      <c r="O12" s="860"/>
      <c r="P12" s="860">
        <v>0</v>
      </c>
      <c r="Q12" s="860">
        <v>0</v>
      </c>
      <c r="R12" s="860">
        <v>0</v>
      </c>
      <c r="S12" s="860"/>
      <c r="T12" s="860">
        <v>0</v>
      </c>
      <c r="U12" s="860">
        <v>0</v>
      </c>
      <c r="V12" s="860"/>
      <c r="W12" s="860">
        <v>0</v>
      </c>
      <c r="X12" s="860">
        <v>0</v>
      </c>
      <c r="Y12" s="861">
        <v>0</v>
      </c>
      <c r="Z12" s="862">
        <f t="shared" si="0"/>
        <v>192</v>
      </c>
      <c r="AA12" s="848">
        <f t="shared" si="5"/>
        <v>0</v>
      </c>
      <c r="AB12" s="848">
        <f t="shared" si="6"/>
        <v>0</v>
      </c>
      <c r="AC12" s="849">
        <f t="shared" si="1"/>
        <v>192</v>
      </c>
      <c r="AD12" s="863">
        <f t="shared" si="2"/>
        <v>0</v>
      </c>
      <c r="AE12" s="864">
        <f t="shared" si="3"/>
        <v>192</v>
      </c>
      <c r="AG12" s="852">
        <f t="shared" si="7"/>
        <v>28</v>
      </c>
      <c r="AH12" s="852">
        <f t="shared" si="4"/>
        <v>62</v>
      </c>
      <c r="AI12" s="852">
        <f t="shared" si="8"/>
        <v>102</v>
      </c>
      <c r="AJ12" s="852">
        <f t="shared" si="9"/>
        <v>0</v>
      </c>
      <c r="AK12" s="852">
        <f t="shared" si="10"/>
        <v>0</v>
      </c>
      <c r="AL12" s="852">
        <f t="shared" si="11"/>
        <v>0</v>
      </c>
      <c r="AM12" s="853">
        <f t="shared" si="12"/>
        <v>192</v>
      </c>
      <c r="AN12" s="852">
        <f t="shared" si="13"/>
        <v>192</v>
      </c>
    </row>
    <row r="13" spans="1:40" s="824" customFormat="1" ht="13.5" thickBot="1" x14ac:dyDescent="0.25">
      <c r="A13" s="837">
        <v>8312004</v>
      </c>
      <c r="B13" s="854">
        <v>2004</v>
      </c>
      <c r="C13" s="855" t="s">
        <v>266</v>
      </c>
      <c r="D13" s="856" t="s">
        <v>208</v>
      </c>
      <c r="E13" s="857" t="s">
        <v>17</v>
      </c>
      <c r="F13" s="858">
        <v>34</v>
      </c>
      <c r="G13" s="859"/>
      <c r="H13" s="860">
        <v>51</v>
      </c>
      <c r="I13" s="860">
        <v>50</v>
      </c>
      <c r="J13" s="860"/>
      <c r="K13" s="860">
        <v>43</v>
      </c>
      <c r="L13" s="860">
        <v>33</v>
      </c>
      <c r="M13" s="860">
        <v>31</v>
      </c>
      <c r="N13" s="860">
        <v>30</v>
      </c>
      <c r="O13" s="860"/>
      <c r="P13" s="860">
        <v>0</v>
      </c>
      <c r="Q13" s="860">
        <v>0</v>
      </c>
      <c r="R13" s="860">
        <v>0</v>
      </c>
      <c r="S13" s="860"/>
      <c r="T13" s="860">
        <v>0</v>
      </c>
      <c r="U13" s="860">
        <v>0</v>
      </c>
      <c r="V13" s="860"/>
      <c r="W13" s="860">
        <v>0</v>
      </c>
      <c r="X13" s="860">
        <v>0</v>
      </c>
      <c r="Y13" s="861">
        <v>0</v>
      </c>
      <c r="Z13" s="862">
        <f t="shared" si="0"/>
        <v>272</v>
      </c>
      <c r="AA13" s="848">
        <f t="shared" si="5"/>
        <v>0</v>
      </c>
      <c r="AB13" s="848">
        <f t="shared" si="6"/>
        <v>0</v>
      </c>
      <c r="AC13" s="849">
        <f t="shared" si="1"/>
        <v>272</v>
      </c>
      <c r="AD13" s="863">
        <f t="shared" si="2"/>
        <v>0</v>
      </c>
      <c r="AE13" s="864">
        <f t="shared" si="3"/>
        <v>272</v>
      </c>
      <c r="AG13" s="852">
        <f t="shared" si="7"/>
        <v>34</v>
      </c>
      <c r="AH13" s="852">
        <f t="shared" si="4"/>
        <v>101</v>
      </c>
      <c r="AI13" s="852">
        <f t="shared" si="8"/>
        <v>137</v>
      </c>
      <c r="AJ13" s="852">
        <f t="shared" si="9"/>
        <v>0</v>
      </c>
      <c r="AK13" s="852">
        <f t="shared" si="10"/>
        <v>0</v>
      </c>
      <c r="AL13" s="852">
        <f t="shared" si="11"/>
        <v>0</v>
      </c>
      <c r="AM13" s="853">
        <f t="shared" si="12"/>
        <v>272</v>
      </c>
      <c r="AN13" s="852">
        <f t="shared" si="13"/>
        <v>272</v>
      </c>
    </row>
    <row r="14" spans="1:40" s="824" customFormat="1" ht="13.5" thickBot="1" x14ac:dyDescent="0.25">
      <c r="A14" s="837">
        <v>8312405</v>
      </c>
      <c r="B14" s="854">
        <v>2405</v>
      </c>
      <c r="C14" s="855" t="s">
        <v>266</v>
      </c>
      <c r="D14" s="856" t="s">
        <v>209</v>
      </c>
      <c r="E14" s="857" t="s">
        <v>18</v>
      </c>
      <c r="F14" s="858">
        <v>30</v>
      </c>
      <c r="G14" s="859"/>
      <c r="H14" s="860">
        <v>30</v>
      </c>
      <c r="I14" s="860">
        <v>30</v>
      </c>
      <c r="J14" s="860"/>
      <c r="K14" s="860">
        <v>30</v>
      </c>
      <c r="L14" s="860">
        <v>29</v>
      </c>
      <c r="M14" s="860">
        <v>29</v>
      </c>
      <c r="N14" s="860">
        <v>29</v>
      </c>
      <c r="O14" s="860"/>
      <c r="P14" s="860">
        <v>0</v>
      </c>
      <c r="Q14" s="860">
        <v>0</v>
      </c>
      <c r="R14" s="860">
        <v>0</v>
      </c>
      <c r="S14" s="860"/>
      <c r="T14" s="860">
        <v>0</v>
      </c>
      <c r="U14" s="860">
        <v>0</v>
      </c>
      <c r="V14" s="860"/>
      <c r="W14" s="860">
        <v>0</v>
      </c>
      <c r="X14" s="860">
        <v>0</v>
      </c>
      <c r="Y14" s="861">
        <v>0</v>
      </c>
      <c r="Z14" s="862">
        <f t="shared" si="0"/>
        <v>207</v>
      </c>
      <c r="AA14" s="848">
        <f t="shared" si="5"/>
        <v>0</v>
      </c>
      <c r="AB14" s="848">
        <f t="shared" si="6"/>
        <v>0</v>
      </c>
      <c r="AC14" s="849">
        <f t="shared" si="1"/>
        <v>207</v>
      </c>
      <c r="AD14" s="863">
        <f t="shared" si="2"/>
        <v>0</v>
      </c>
      <c r="AE14" s="864">
        <f t="shared" si="3"/>
        <v>207</v>
      </c>
      <c r="AG14" s="852">
        <f t="shared" si="7"/>
        <v>30</v>
      </c>
      <c r="AH14" s="852">
        <f t="shared" si="4"/>
        <v>60</v>
      </c>
      <c r="AI14" s="852">
        <f t="shared" si="8"/>
        <v>117</v>
      </c>
      <c r="AJ14" s="852">
        <f t="shared" si="9"/>
        <v>0</v>
      </c>
      <c r="AK14" s="852">
        <f t="shared" si="10"/>
        <v>0</v>
      </c>
      <c r="AL14" s="852">
        <f t="shared" si="11"/>
        <v>0</v>
      </c>
      <c r="AM14" s="853">
        <f t="shared" si="12"/>
        <v>207</v>
      </c>
      <c r="AN14" s="852">
        <f t="shared" si="13"/>
        <v>207</v>
      </c>
    </row>
    <row r="15" spans="1:40" s="824" customFormat="1" ht="13.5" thickBot="1" x14ac:dyDescent="0.25">
      <c r="A15" s="837">
        <v>8314177</v>
      </c>
      <c r="B15" s="854">
        <v>4177</v>
      </c>
      <c r="C15" s="855" t="s">
        <v>117</v>
      </c>
      <c r="D15" s="856" t="s">
        <v>683</v>
      </c>
      <c r="E15" s="857" t="s">
        <v>684</v>
      </c>
      <c r="F15" s="858">
        <v>19</v>
      </c>
      <c r="G15" s="859"/>
      <c r="H15" s="860">
        <v>0</v>
      </c>
      <c r="I15" s="860">
        <v>0</v>
      </c>
      <c r="J15" s="860"/>
      <c r="K15" s="860">
        <v>11</v>
      </c>
      <c r="L15" s="860">
        <v>0</v>
      </c>
      <c r="M15" s="860">
        <v>0</v>
      </c>
      <c r="N15" s="860">
        <v>0</v>
      </c>
      <c r="O15" s="860"/>
      <c r="P15" s="860">
        <v>131</v>
      </c>
      <c r="Q15" s="860">
        <v>136</v>
      </c>
      <c r="R15" s="860">
        <v>118</v>
      </c>
      <c r="S15" s="860"/>
      <c r="T15" s="860">
        <v>132</v>
      </c>
      <c r="U15" s="860">
        <v>145</v>
      </c>
      <c r="V15" s="860"/>
      <c r="W15" s="860">
        <v>63</v>
      </c>
      <c r="X15" s="860">
        <v>17</v>
      </c>
      <c r="Y15" s="861">
        <v>0</v>
      </c>
      <c r="Z15" s="862">
        <f t="shared" si="0"/>
        <v>30</v>
      </c>
      <c r="AA15" s="848">
        <f t="shared" si="5"/>
        <v>385</v>
      </c>
      <c r="AB15" s="848">
        <f t="shared" si="6"/>
        <v>277</v>
      </c>
      <c r="AC15" s="849">
        <f t="shared" si="1"/>
        <v>692</v>
      </c>
      <c r="AD15" s="863">
        <f t="shared" si="2"/>
        <v>80</v>
      </c>
      <c r="AE15" s="864">
        <f t="shared" si="3"/>
        <v>772</v>
      </c>
      <c r="AG15" s="852">
        <f t="shared" si="7"/>
        <v>19</v>
      </c>
      <c r="AH15" s="852">
        <f t="shared" si="4"/>
        <v>0</v>
      </c>
      <c r="AI15" s="852">
        <f t="shared" si="8"/>
        <v>11</v>
      </c>
      <c r="AJ15" s="852">
        <f t="shared" si="9"/>
        <v>385</v>
      </c>
      <c r="AK15" s="852">
        <f t="shared" si="10"/>
        <v>277</v>
      </c>
      <c r="AL15" s="852">
        <f t="shared" si="11"/>
        <v>80</v>
      </c>
      <c r="AM15" s="853">
        <f t="shared" si="12"/>
        <v>692</v>
      </c>
      <c r="AN15" s="852">
        <f t="shared" si="13"/>
        <v>772</v>
      </c>
    </row>
    <row r="16" spans="1:40" s="824" customFormat="1" ht="13.5" thickBot="1" x14ac:dyDescent="0.25">
      <c r="A16" s="837">
        <v>8313525</v>
      </c>
      <c r="B16" s="856">
        <v>2011</v>
      </c>
      <c r="C16" s="855" t="s">
        <v>266</v>
      </c>
      <c r="D16" s="854" t="s">
        <v>210</v>
      </c>
      <c r="E16" s="857" t="s">
        <v>19</v>
      </c>
      <c r="F16" s="858">
        <v>31</v>
      </c>
      <c r="G16" s="859"/>
      <c r="H16" s="860">
        <v>28</v>
      </c>
      <c r="I16" s="860">
        <v>29</v>
      </c>
      <c r="J16" s="860"/>
      <c r="K16" s="860">
        <v>30</v>
      </c>
      <c r="L16" s="860">
        <v>32</v>
      </c>
      <c r="M16" s="860">
        <v>32</v>
      </c>
      <c r="N16" s="860">
        <v>32</v>
      </c>
      <c r="O16" s="860"/>
      <c r="P16" s="860">
        <v>0</v>
      </c>
      <c r="Q16" s="860">
        <v>0</v>
      </c>
      <c r="R16" s="860">
        <v>0</v>
      </c>
      <c r="S16" s="860"/>
      <c r="T16" s="860">
        <v>0</v>
      </c>
      <c r="U16" s="860">
        <v>0</v>
      </c>
      <c r="V16" s="860"/>
      <c r="W16" s="860">
        <v>0</v>
      </c>
      <c r="X16" s="860">
        <v>0</v>
      </c>
      <c r="Y16" s="861">
        <v>0</v>
      </c>
      <c r="Z16" s="862">
        <f t="shared" si="0"/>
        <v>214</v>
      </c>
      <c r="AA16" s="848">
        <f t="shared" si="5"/>
        <v>0</v>
      </c>
      <c r="AB16" s="848">
        <f t="shared" si="6"/>
        <v>0</v>
      </c>
      <c r="AC16" s="849">
        <f t="shared" si="1"/>
        <v>214</v>
      </c>
      <c r="AD16" s="863">
        <f t="shared" si="2"/>
        <v>0</v>
      </c>
      <c r="AE16" s="864">
        <f t="shared" si="3"/>
        <v>214</v>
      </c>
      <c r="AG16" s="852">
        <f t="shared" si="7"/>
        <v>31</v>
      </c>
      <c r="AH16" s="852">
        <f t="shared" si="4"/>
        <v>57</v>
      </c>
      <c r="AI16" s="852">
        <f t="shared" si="8"/>
        <v>126</v>
      </c>
      <c r="AJ16" s="852">
        <f t="shared" si="9"/>
        <v>0</v>
      </c>
      <c r="AK16" s="852">
        <f t="shared" si="10"/>
        <v>0</v>
      </c>
      <c r="AL16" s="852">
        <f t="shared" si="11"/>
        <v>0</v>
      </c>
      <c r="AM16" s="853">
        <f t="shared" si="12"/>
        <v>214</v>
      </c>
      <c r="AN16" s="852">
        <f t="shared" si="13"/>
        <v>214</v>
      </c>
    </row>
    <row r="17" spans="1:40" s="824" customFormat="1" ht="13.5" thickBot="1" x14ac:dyDescent="0.25">
      <c r="A17" s="837">
        <v>8315201</v>
      </c>
      <c r="B17" s="856">
        <v>5201</v>
      </c>
      <c r="C17" s="855" t="s">
        <v>266</v>
      </c>
      <c r="D17" s="856" t="s">
        <v>211</v>
      </c>
      <c r="E17" s="857" t="s">
        <v>20</v>
      </c>
      <c r="F17" s="858">
        <v>59</v>
      </c>
      <c r="G17" s="859"/>
      <c r="H17" s="860">
        <v>69</v>
      </c>
      <c r="I17" s="860">
        <v>60</v>
      </c>
      <c r="J17" s="860"/>
      <c r="K17" s="860">
        <v>61</v>
      </c>
      <c r="L17" s="860">
        <v>59</v>
      </c>
      <c r="M17" s="860">
        <v>53</v>
      </c>
      <c r="N17" s="860">
        <v>58</v>
      </c>
      <c r="O17" s="860"/>
      <c r="P17" s="860">
        <v>0</v>
      </c>
      <c r="Q17" s="860">
        <v>0</v>
      </c>
      <c r="R17" s="860">
        <v>0</v>
      </c>
      <c r="S17" s="860"/>
      <c r="T17" s="860">
        <v>0</v>
      </c>
      <c r="U17" s="860">
        <v>0</v>
      </c>
      <c r="V17" s="860"/>
      <c r="W17" s="860">
        <v>0</v>
      </c>
      <c r="X17" s="860">
        <v>0</v>
      </c>
      <c r="Y17" s="861">
        <v>0</v>
      </c>
      <c r="Z17" s="862">
        <f t="shared" si="0"/>
        <v>419</v>
      </c>
      <c r="AA17" s="848">
        <f t="shared" si="5"/>
        <v>0</v>
      </c>
      <c r="AB17" s="848">
        <f t="shared" si="6"/>
        <v>0</v>
      </c>
      <c r="AC17" s="849">
        <f t="shared" si="1"/>
        <v>419</v>
      </c>
      <c r="AD17" s="863">
        <f t="shared" si="2"/>
        <v>0</v>
      </c>
      <c r="AE17" s="864">
        <f t="shared" si="3"/>
        <v>419</v>
      </c>
      <c r="AG17" s="852">
        <f t="shared" si="7"/>
        <v>59</v>
      </c>
      <c r="AH17" s="852">
        <f t="shared" si="4"/>
        <v>129</v>
      </c>
      <c r="AI17" s="852">
        <f t="shared" si="8"/>
        <v>231</v>
      </c>
      <c r="AJ17" s="852">
        <f t="shared" si="9"/>
        <v>0</v>
      </c>
      <c r="AK17" s="852">
        <f t="shared" si="10"/>
        <v>0</v>
      </c>
      <c r="AL17" s="852">
        <f t="shared" si="11"/>
        <v>0</v>
      </c>
      <c r="AM17" s="853">
        <f t="shared" si="12"/>
        <v>419</v>
      </c>
      <c r="AN17" s="852">
        <f t="shared" si="13"/>
        <v>419</v>
      </c>
    </row>
    <row r="18" spans="1:40" s="824" customFormat="1" ht="13.5" thickBot="1" x14ac:dyDescent="0.25">
      <c r="A18" s="837">
        <v>8312433</v>
      </c>
      <c r="B18" s="854">
        <v>2433</v>
      </c>
      <c r="C18" s="855" t="s">
        <v>266</v>
      </c>
      <c r="D18" s="856" t="s">
        <v>212</v>
      </c>
      <c r="E18" s="857" t="s">
        <v>21</v>
      </c>
      <c r="F18" s="858">
        <v>64</v>
      </c>
      <c r="G18" s="859"/>
      <c r="H18" s="860">
        <v>68</v>
      </c>
      <c r="I18" s="860">
        <v>65</v>
      </c>
      <c r="J18" s="860"/>
      <c r="K18" s="860">
        <v>0</v>
      </c>
      <c r="L18" s="860">
        <v>0</v>
      </c>
      <c r="M18" s="860">
        <v>0</v>
      </c>
      <c r="N18" s="860">
        <v>0</v>
      </c>
      <c r="O18" s="860"/>
      <c r="P18" s="860">
        <v>0</v>
      </c>
      <c r="Q18" s="860">
        <v>0</v>
      </c>
      <c r="R18" s="860">
        <v>0</v>
      </c>
      <c r="S18" s="860"/>
      <c r="T18" s="860">
        <v>0</v>
      </c>
      <c r="U18" s="860">
        <v>0</v>
      </c>
      <c r="V18" s="860"/>
      <c r="W18" s="860">
        <v>0</v>
      </c>
      <c r="X18" s="860">
        <v>0</v>
      </c>
      <c r="Y18" s="861">
        <v>0</v>
      </c>
      <c r="Z18" s="862">
        <f t="shared" si="0"/>
        <v>197</v>
      </c>
      <c r="AA18" s="848">
        <f t="shared" si="5"/>
        <v>0</v>
      </c>
      <c r="AB18" s="848">
        <f t="shared" si="6"/>
        <v>0</v>
      </c>
      <c r="AC18" s="849">
        <f t="shared" si="1"/>
        <v>197</v>
      </c>
      <c r="AD18" s="863">
        <f t="shared" si="2"/>
        <v>0</v>
      </c>
      <c r="AE18" s="864">
        <f t="shared" si="3"/>
        <v>197</v>
      </c>
      <c r="AG18" s="852">
        <f t="shared" si="7"/>
        <v>64</v>
      </c>
      <c r="AH18" s="852">
        <f t="shared" si="4"/>
        <v>133</v>
      </c>
      <c r="AI18" s="852">
        <f t="shared" si="8"/>
        <v>0</v>
      </c>
      <c r="AJ18" s="852">
        <f t="shared" si="9"/>
        <v>0</v>
      </c>
      <c r="AK18" s="852">
        <f t="shared" si="10"/>
        <v>0</v>
      </c>
      <c r="AL18" s="852">
        <f t="shared" si="11"/>
        <v>0</v>
      </c>
      <c r="AM18" s="853">
        <f t="shared" si="12"/>
        <v>197</v>
      </c>
      <c r="AN18" s="852">
        <f t="shared" si="13"/>
        <v>197</v>
      </c>
    </row>
    <row r="19" spans="1:40" s="824" customFormat="1" ht="13.5" thickBot="1" x14ac:dyDescent="0.25">
      <c r="A19" s="837">
        <v>8312432</v>
      </c>
      <c r="B19" s="854">
        <v>2432</v>
      </c>
      <c r="C19" s="855" t="s">
        <v>266</v>
      </c>
      <c r="D19" s="856" t="s">
        <v>658</v>
      </c>
      <c r="E19" s="857" t="s">
        <v>22</v>
      </c>
      <c r="F19" s="858">
        <v>0</v>
      </c>
      <c r="G19" s="859"/>
      <c r="H19" s="860">
        <v>0</v>
      </c>
      <c r="I19" s="860">
        <v>0</v>
      </c>
      <c r="J19" s="860"/>
      <c r="K19" s="860">
        <v>61</v>
      </c>
      <c r="L19" s="860">
        <v>58</v>
      </c>
      <c r="M19" s="860">
        <v>63</v>
      </c>
      <c r="N19" s="860">
        <v>61</v>
      </c>
      <c r="O19" s="860"/>
      <c r="P19" s="860">
        <v>0</v>
      </c>
      <c r="Q19" s="860">
        <v>0</v>
      </c>
      <c r="R19" s="860">
        <v>0</v>
      </c>
      <c r="S19" s="860"/>
      <c r="T19" s="860">
        <v>0</v>
      </c>
      <c r="U19" s="860">
        <v>0</v>
      </c>
      <c r="V19" s="860"/>
      <c r="W19" s="860">
        <v>0</v>
      </c>
      <c r="X19" s="860">
        <v>0</v>
      </c>
      <c r="Y19" s="861">
        <v>0</v>
      </c>
      <c r="Z19" s="862">
        <f t="shared" si="0"/>
        <v>243</v>
      </c>
      <c r="AA19" s="848">
        <f t="shared" si="5"/>
        <v>0</v>
      </c>
      <c r="AB19" s="848">
        <f t="shared" si="6"/>
        <v>0</v>
      </c>
      <c r="AC19" s="849">
        <f t="shared" si="1"/>
        <v>243</v>
      </c>
      <c r="AD19" s="863">
        <f t="shared" si="2"/>
        <v>0</v>
      </c>
      <c r="AE19" s="864">
        <f t="shared" si="3"/>
        <v>243</v>
      </c>
      <c r="AG19" s="852">
        <f t="shared" si="7"/>
        <v>0</v>
      </c>
      <c r="AH19" s="852">
        <f t="shared" si="4"/>
        <v>0</v>
      </c>
      <c r="AI19" s="852">
        <f t="shared" si="8"/>
        <v>243</v>
      </c>
      <c r="AJ19" s="852">
        <f t="shared" si="9"/>
        <v>0</v>
      </c>
      <c r="AK19" s="852">
        <f t="shared" si="10"/>
        <v>0</v>
      </c>
      <c r="AL19" s="852">
        <f t="shared" si="11"/>
        <v>0</v>
      </c>
      <c r="AM19" s="853">
        <f t="shared" si="12"/>
        <v>243</v>
      </c>
      <c r="AN19" s="852">
        <f t="shared" si="13"/>
        <v>243</v>
      </c>
    </row>
    <row r="20" spans="1:40" s="824" customFormat="1" ht="13.5" thickBot="1" x14ac:dyDescent="0.25">
      <c r="A20" s="837">
        <v>8312446</v>
      </c>
      <c r="B20" s="854">
        <v>2447</v>
      </c>
      <c r="C20" s="855" t="s">
        <v>266</v>
      </c>
      <c r="D20" s="856" t="s">
        <v>659</v>
      </c>
      <c r="E20" s="857" t="s">
        <v>199</v>
      </c>
      <c r="F20" s="858">
        <v>71</v>
      </c>
      <c r="G20" s="859"/>
      <c r="H20" s="860">
        <v>62</v>
      </c>
      <c r="I20" s="860">
        <v>59</v>
      </c>
      <c r="J20" s="860"/>
      <c r="K20" s="860">
        <v>55</v>
      </c>
      <c r="L20" s="860">
        <v>60</v>
      </c>
      <c r="M20" s="860">
        <v>58</v>
      </c>
      <c r="N20" s="860">
        <v>54</v>
      </c>
      <c r="O20" s="860"/>
      <c r="P20" s="860">
        <v>0</v>
      </c>
      <c r="Q20" s="860">
        <v>0</v>
      </c>
      <c r="R20" s="860">
        <v>0</v>
      </c>
      <c r="S20" s="860"/>
      <c r="T20" s="860">
        <v>0</v>
      </c>
      <c r="U20" s="860">
        <v>0</v>
      </c>
      <c r="V20" s="860"/>
      <c r="W20" s="860">
        <v>0</v>
      </c>
      <c r="X20" s="860">
        <v>0</v>
      </c>
      <c r="Y20" s="861">
        <v>0</v>
      </c>
      <c r="Z20" s="862">
        <f t="shared" si="0"/>
        <v>419</v>
      </c>
      <c r="AA20" s="848">
        <f t="shared" si="5"/>
        <v>0</v>
      </c>
      <c r="AB20" s="848">
        <f t="shared" si="6"/>
        <v>0</v>
      </c>
      <c r="AC20" s="849">
        <f t="shared" si="1"/>
        <v>419</v>
      </c>
      <c r="AD20" s="863">
        <f t="shared" si="2"/>
        <v>0</v>
      </c>
      <c r="AE20" s="864">
        <f t="shared" si="3"/>
        <v>419</v>
      </c>
      <c r="AG20" s="852">
        <f t="shared" si="7"/>
        <v>71</v>
      </c>
      <c r="AH20" s="852">
        <f t="shared" si="4"/>
        <v>121</v>
      </c>
      <c r="AI20" s="852">
        <f t="shared" si="8"/>
        <v>227</v>
      </c>
      <c r="AJ20" s="852">
        <f t="shared" si="9"/>
        <v>0</v>
      </c>
      <c r="AK20" s="852">
        <f t="shared" si="10"/>
        <v>0</v>
      </c>
      <c r="AL20" s="852">
        <f t="shared" si="11"/>
        <v>0</v>
      </c>
      <c r="AM20" s="853">
        <f t="shared" si="12"/>
        <v>419</v>
      </c>
      <c r="AN20" s="852">
        <f t="shared" si="13"/>
        <v>419</v>
      </c>
    </row>
    <row r="21" spans="1:40" s="824" customFormat="1" ht="13.5" thickBot="1" x14ac:dyDescent="0.25">
      <c r="A21" s="837">
        <v>8312447</v>
      </c>
      <c r="B21" s="854">
        <v>2512</v>
      </c>
      <c r="C21" s="855" t="s">
        <v>266</v>
      </c>
      <c r="D21" s="856" t="s">
        <v>214</v>
      </c>
      <c r="E21" s="857" t="s">
        <v>23</v>
      </c>
      <c r="F21" s="858">
        <v>30</v>
      </c>
      <c r="G21" s="859"/>
      <c r="H21" s="860">
        <v>29</v>
      </c>
      <c r="I21" s="860">
        <v>30</v>
      </c>
      <c r="J21" s="860"/>
      <c r="K21" s="860">
        <v>29</v>
      </c>
      <c r="L21" s="860">
        <v>28</v>
      </c>
      <c r="M21" s="860">
        <v>30</v>
      </c>
      <c r="N21" s="860">
        <v>30</v>
      </c>
      <c r="O21" s="860"/>
      <c r="P21" s="860">
        <v>0</v>
      </c>
      <c r="Q21" s="860">
        <v>0</v>
      </c>
      <c r="R21" s="860">
        <v>0</v>
      </c>
      <c r="S21" s="860"/>
      <c r="T21" s="860">
        <v>0</v>
      </c>
      <c r="U21" s="860">
        <v>0</v>
      </c>
      <c r="V21" s="860"/>
      <c r="W21" s="860">
        <v>0</v>
      </c>
      <c r="X21" s="860">
        <v>0</v>
      </c>
      <c r="Y21" s="861">
        <v>0</v>
      </c>
      <c r="Z21" s="862">
        <f t="shared" si="0"/>
        <v>206</v>
      </c>
      <c r="AA21" s="848">
        <f t="shared" si="5"/>
        <v>0</v>
      </c>
      <c r="AB21" s="848">
        <f t="shared" si="6"/>
        <v>0</v>
      </c>
      <c r="AC21" s="849">
        <f t="shared" si="1"/>
        <v>206</v>
      </c>
      <c r="AD21" s="863">
        <f t="shared" si="2"/>
        <v>0</v>
      </c>
      <c r="AE21" s="864">
        <f t="shared" si="3"/>
        <v>206</v>
      </c>
      <c r="AG21" s="852">
        <f t="shared" si="7"/>
        <v>30</v>
      </c>
      <c r="AH21" s="852">
        <f t="shared" si="4"/>
        <v>59</v>
      </c>
      <c r="AI21" s="852">
        <f t="shared" si="8"/>
        <v>117</v>
      </c>
      <c r="AJ21" s="852">
        <f t="shared" si="9"/>
        <v>0</v>
      </c>
      <c r="AK21" s="852">
        <f t="shared" si="10"/>
        <v>0</v>
      </c>
      <c r="AL21" s="852">
        <f t="shared" si="11"/>
        <v>0</v>
      </c>
      <c r="AM21" s="853">
        <f t="shared" si="12"/>
        <v>206</v>
      </c>
      <c r="AN21" s="852">
        <f t="shared" si="13"/>
        <v>206</v>
      </c>
    </row>
    <row r="22" spans="1:40" s="824" customFormat="1" ht="13.5" thickBot="1" x14ac:dyDescent="0.25">
      <c r="A22" s="837">
        <v>8312512</v>
      </c>
      <c r="B22" s="854">
        <v>2456</v>
      </c>
      <c r="C22" s="855" t="s">
        <v>266</v>
      </c>
      <c r="D22" s="856" t="s">
        <v>215</v>
      </c>
      <c r="E22" s="857" t="s">
        <v>24</v>
      </c>
      <c r="F22" s="858">
        <v>59</v>
      </c>
      <c r="G22" s="859"/>
      <c r="H22" s="860">
        <v>60</v>
      </c>
      <c r="I22" s="860">
        <v>60</v>
      </c>
      <c r="J22" s="860"/>
      <c r="K22" s="860">
        <v>0</v>
      </c>
      <c r="L22" s="860">
        <v>0</v>
      </c>
      <c r="M22" s="860">
        <v>0</v>
      </c>
      <c r="N22" s="860">
        <v>0</v>
      </c>
      <c r="O22" s="860"/>
      <c r="P22" s="860">
        <v>0</v>
      </c>
      <c r="Q22" s="860">
        <v>0</v>
      </c>
      <c r="R22" s="860">
        <v>0</v>
      </c>
      <c r="S22" s="860"/>
      <c r="T22" s="860">
        <v>0</v>
      </c>
      <c r="U22" s="860">
        <v>0</v>
      </c>
      <c r="V22" s="860"/>
      <c r="W22" s="860">
        <v>0</v>
      </c>
      <c r="X22" s="860">
        <v>0</v>
      </c>
      <c r="Y22" s="861">
        <v>0</v>
      </c>
      <c r="Z22" s="862">
        <f t="shared" si="0"/>
        <v>179</v>
      </c>
      <c r="AA22" s="848">
        <f t="shared" si="5"/>
        <v>0</v>
      </c>
      <c r="AB22" s="848">
        <f t="shared" si="6"/>
        <v>0</v>
      </c>
      <c r="AC22" s="849">
        <f t="shared" si="1"/>
        <v>179</v>
      </c>
      <c r="AD22" s="863">
        <f t="shared" si="2"/>
        <v>0</v>
      </c>
      <c r="AE22" s="864">
        <f t="shared" si="3"/>
        <v>179</v>
      </c>
      <c r="AG22" s="852">
        <f t="shared" si="7"/>
        <v>59</v>
      </c>
      <c r="AH22" s="852">
        <f t="shared" si="4"/>
        <v>120</v>
      </c>
      <c r="AI22" s="852">
        <f t="shared" si="8"/>
        <v>0</v>
      </c>
      <c r="AJ22" s="852">
        <f t="shared" si="9"/>
        <v>0</v>
      </c>
      <c r="AK22" s="852">
        <f t="shared" si="10"/>
        <v>0</v>
      </c>
      <c r="AL22" s="852">
        <f t="shared" si="11"/>
        <v>0</v>
      </c>
      <c r="AM22" s="853">
        <f t="shared" si="12"/>
        <v>179</v>
      </c>
      <c r="AN22" s="852">
        <f t="shared" si="13"/>
        <v>179</v>
      </c>
    </row>
    <row r="23" spans="1:40" s="824" customFormat="1" ht="13.5" thickBot="1" x14ac:dyDescent="0.25">
      <c r="A23" s="837">
        <v>8312456</v>
      </c>
      <c r="B23" s="854">
        <v>1017</v>
      </c>
      <c r="C23" s="855" t="s">
        <v>959</v>
      </c>
      <c r="D23" s="856" t="s">
        <v>216</v>
      </c>
      <c r="E23" s="857" t="s">
        <v>3</v>
      </c>
      <c r="F23" s="858">
        <v>0</v>
      </c>
      <c r="G23" s="859"/>
      <c r="H23" s="860">
        <v>0</v>
      </c>
      <c r="I23" s="860">
        <v>0</v>
      </c>
      <c r="J23" s="860"/>
      <c r="K23" s="860">
        <v>0</v>
      </c>
      <c r="L23" s="860">
        <v>0</v>
      </c>
      <c r="M23" s="860">
        <v>0</v>
      </c>
      <c r="N23" s="860">
        <v>0</v>
      </c>
      <c r="O23" s="860"/>
      <c r="P23" s="860">
        <v>0</v>
      </c>
      <c r="Q23" s="860">
        <v>0</v>
      </c>
      <c r="R23" s="860">
        <v>0</v>
      </c>
      <c r="S23" s="860"/>
      <c r="T23" s="860">
        <v>0</v>
      </c>
      <c r="U23" s="860">
        <v>0</v>
      </c>
      <c r="V23" s="860"/>
      <c r="W23" s="860">
        <v>0</v>
      </c>
      <c r="X23" s="860">
        <v>0</v>
      </c>
      <c r="Y23" s="861">
        <v>0</v>
      </c>
      <c r="Z23" s="871">
        <f t="shared" si="0"/>
        <v>0</v>
      </c>
      <c r="AA23" s="848">
        <f t="shared" si="5"/>
        <v>0</v>
      </c>
      <c r="AB23" s="848">
        <f t="shared" si="6"/>
        <v>0</v>
      </c>
      <c r="AC23" s="849">
        <f t="shared" si="1"/>
        <v>0</v>
      </c>
      <c r="AD23" s="872">
        <f t="shared" si="2"/>
        <v>0</v>
      </c>
      <c r="AE23" s="873">
        <f t="shared" si="3"/>
        <v>0</v>
      </c>
      <c r="AG23" s="852">
        <f t="shared" si="7"/>
        <v>0</v>
      </c>
      <c r="AH23" s="852">
        <f t="shared" si="4"/>
        <v>0</v>
      </c>
      <c r="AI23" s="852">
        <f t="shared" si="8"/>
        <v>0</v>
      </c>
      <c r="AJ23" s="852">
        <f t="shared" si="9"/>
        <v>0</v>
      </c>
      <c r="AK23" s="852">
        <f t="shared" si="10"/>
        <v>0</v>
      </c>
      <c r="AL23" s="852">
        <f t="shared" si="11"/>
        <v>0</v>
      </c>
      <c r="AM23" s="853">
        <f t="shared" si="12"/>
        <v>0</v>
      </c>
      <c r="AN23" s="852">
        <f t="shared" si="13"/>
        <v>0</v>
      </c>
    </row>
    <row r="24" spans="1:40" s="824" customFormat="1" ht="13.5" thickBot="1" x14ac:dyDescent="0.25">
      <c r="A24" s="837">
        <v>8311017</v>
      </c>
      <c r="B24" s="854">
        <v>2449</v>
      </c>
      <c r="C24" s="855" t="s">
        <v>266</v>
      </c>
      <c r="D24" s="856" t="s">
        <v>217</v>
      </c>
      <c r="E24" s="857" t="s">
        <v>25</v>
      </c>
      <c r="F24" s="858">
        <v>90</v>
      </c>
      <c r="G24" s="859"/>
      <c r="H24" s="860">
        <v>90</v>
      </c>
      <c r="I24" s="860">
        <v>90</v>
      </c>
      <c r="J24" s="860"/>
      <c r="K24" s="860">
        <v>0</v>
      </c>
      <c r="L24" s="860">
        <v>0</v>
      </c>
      <c r="M24" s="860">
        <v>0</v>
      </c>
      <c r="N24" s="860">
        <v>0</v>
      </c>
      <c r="O24" s="860"/>
      <c r="P24" s="860">
        <v>0</v>
      </c>
      <c r="Q24" s="860">
        <v>0</v>
      </c>
      <c r="R24" s="860">
        <v>0</v>
      </c>
      <c r="S24" s="860"/>
      <c r="T24" s="860">
        <v>0</v>
      </c>
      <c r="U24" s="860">
        <v>0</v>
      </c>
      <c r="V24" s="860"/>
      <c r="W24" s="860">
        <v>0</v>
      </c>
      <c r="X24" s="860">
        <v>0</v>
      </c>
      <c r="Y24" s="861">
        <v>0</v>
      </c>
      <c r="Z24" s="862">
        <f t="shared" si="0"/>
        <v>270</v>
      </c>
      <c r="AA24" s="848">
        <f t="shared" si="5"/>
        <v>0</v>
      </c>
      <c r="AB24" s="848">
        <f t="shared" si="6"/>
        <v>0</v>
      </c>
      <c r="AC24" s="849">
        <f t="shared" si="1"/>
        <v>270</v>
      </c>
      <c r="AD24" s="863">
        <f t="shared" si="2"/>
        <v>0</v>
      </c>
      <c r="AE24" s="864">
        <f t="shared" si="3"/>
        <v>270</v>
      </c>
      <c r="AG24" s="852">
        <f t="shared" si="7"/>
        <v>90</v>
      </c>
      <c r="AH24" s="852">
        <f t="shared" si="4"/>
        <v>180</v>
      </c>
      <c r="AI24" s="852">
        <f t="shared" si="8"/>
        <v>0</v>
      </c>
      <c r="AJ24" s="852">
        <f t="shared" si="9"/>
        <v>0</v>
      </c>
      <c r="AK24" s="852">
        <f t="shared" si="10"/>
        <v>0</v>
      </c>
      <c r="AL24" s="852">
        <f t="shared" si="11"/>
        <v>0</v>
      </c>
      <c r="AM24" s="853">
        <f t="shared" si="12"/>
        <v>270</v>
      </c>
      <c r="AN24" s="852">
        <f t="shared" si="13"/>
        <v>270</v>
      </c>
    </row>
    <row r="25" spans="1:40" s="824" customFormat="1" ht="13.5" thickBot="1" x14ac:dyDescent="0.25">
      <c r="A25" s="837">
        <v>8312449</v>
      </c>
      <c r="B25" s="854">
        <v>2448</v>
      </c>
      <c r="C25" s="855" t="s">
        <v>266</v>
      </c>
      <c r="D25" s="856" t="s">
        <v>596</v>
      </c>
      <c r="E25" s="857" t="s">
        <v>26</v>
      </c>
      <c r="F25" s="858">
        <v>0</v>
      </c>
      <c r="G25" s="859"/>
      <c r="H25" s="860">
        <v>0</v>
      </c>
      <c r="I25" s="860">
        <v>0</v>
      </c>
      <c r="J25" s="860"/>
      <c r="K25" s="860">
        <v>90</v>
      </c>
      <c r="L25" s="860">
        <v>76</v>
      </c>
      <c r="M25" s="860">
        <v>87</v>
      </c>
      <c r="N25" s="860">
        <v>81</v>
      </c>
      <c r="O25" s="860"/>
      <c r="P25" s="860">
        <v>0</v>
      </c>
      <c r="Q25" s="860">
        <v>0</v>
      </c>
      <c r="R25" s="860">
        <v>0</v>
      </c>
      <c r="S25" s="860"/>
      <c r="T25" s="860">
        <v>0</v>
      </c>
      <c r="U25" s="860">
        <v>0</v>
      </c>
      <c r="V25" s="860"/>
      <c r="W25" s="860">
        <v>0</v>
      </c>
      <c r="X25" s="860">
        <v>0</v>
      </c>
      <c r="Y25" s="861">
        <v>0</v>
      </c>
      <c r="Z25" s="862">
        <f t="shared" si="0"/>
        <v>334</v>
      </c>
      <c r="AA25" s="848">
        <f t="shared" si="5"/>
        <v>0</v>
      </c>
      <c r="AB25" s="848">
        <f t="shared" si="6"/>
        <v>0</v>
      </c>
      <c r="AC25" s="849">
        <f t="shared" si="1"/>
        <v>334</v>
      </c>
      <c r="AD25" s="863">
        <f t="shared" si="2"/>
        <v>0</v>
      </c>
      <c r="AE25" s="864">
        <f t="shared" si="3"/>
        <v>334</v>
      </c>
      <c r="AG25" s="852">
        <f t="shared" si="7"/>
        <v>0</v>
      </c>
      <c r="AH25" s="852">
        <f t="shared" si="4"/>
        <v>0</v>
      </c>
      <c r="AI25" s="852">
        <f t="shared" si="8"/>
        <v>334</v>
      </c>
      <c r="AJ25" s="852">
        <f t="shared" si="9"/>
        <v>0</v>
      </c>
      <c r="AK25" s="852">
        <f t="shared" si="10"/>
        <v>0</v>
      </c>
      <c r="AL25" s="852">
        <f t="shared" si="11"/>
        <v>0</v>
      </c>
      <c r="AM25" s="853">
        <f t="shared" si="12"/>
        <v>334</v>
      </c>
      <c r="AN25" s="852">
        <f t="shared" si="13"/>
        <v>334</v>
      </c>
    </row>
    <row r="26" spans="1:40" s="824" customFormat="1" ht="13.5" thickBot="1" x14ac:dyDescent="0.25">
      <c r="A26" s="837">
        <v>8312448</v>
      </c>
      <c r="B26" s="854">
        <v>1006</v>
      </c>
      <c r="C26" s="855" t="s">
        <v>959</v>
      </c>
      <c r="D26" s="856" t="s">
        <v>218</v>
      </c>
      <c r="E26" s="857" t="s">
        <v>961</v>
      </c>
      <c r="F26" s="858">
        <v>0</v>
      </c>
      <c r="G26" s="859"/>
      <c r="H26" s="860">
        <v>0</v>
      </c>
      <c r="I26" s="860">
        <v>0</v>
      </c>
      <c r="J26" s="860"/>
      <c r="K26" s="860">
        <v>0</v>
      </c>
      <c r="L26" s="860">
        <v>0</v>
      </c>
      <c r="M26" s="860">
        <v>0</v>
      </c>
      <c r="N26" s="860">
        <v>0</v>
      </c>
      <c r="O26" s="860"/>
      <c r="P26" s="860">
        <v>0</v>
      </c>
      <c r="Q26" s="860">
        <v>0</v>
      </c>
      <c r="R26" s="860">
        <v>0</v>
      </c>
      <c r="S26" s="860"/>
      <c r="T26" s="860">
        <v>0</v>
      </c>
      <c r="U26" s="860">
        <v>0</v>
      </c>
      <c r="V26" s="860"/>
      <c r="W26" s="860">
        <v>0</v>
      </c>
      <c r="X26" s="860">
        <v>0</v>
      </c>
      <c r="Y26" s="861">
        <v>0</v>
      </c>
      <c r="Z26" s="871">
        <f t="shared" si="0"/>
        <v>0</v>
      </c>
      <c r="AA26" s="848">
        <f t="shared" si="5"/>
        <v>0</v>
      </c>
      <c r="AB26" s="848">
        <f t="shared" si="6"/>
        <v>0</v>
      </c>
      <c r="AC26" s="849">
        <f t="shared" si="1"/>
        <v>0</v>
      </c>
      <c r="AD26" s="872">
        <f t="shared" si="2"/>
        <v>0</v>
      </c>
      <c r="AE26" s="873">
        <f t="shared" si="3"/>
        <v>0</v>
      </c>
      <c r="AG26" s="852">
        <f t="shared" si="7"/>
        <v>0</v>
      </c>
      <c r="AH26" s="852">
        <f t="shared" si="4"/>
        <v>0</v>
      </c>
      <c r="AI26" s="852">
        <f t="shared" si="8"/>
        <v>0</v>
      </c>
      <c r="AJ26" s="852">
        <f t="shared" si="9"/>
        <v>0</v>
      </c>
      <c r="AK26" s="852">
        <f t="shared" si="10"/>
        <v>0</v>
      </c>
      <c r="AL26" s="852">
        <f t="shared" si="11"/>
        <v>0</v>
      </c>
      <c r="AM26" s="853">
        <f t="shared" si="12"/>
        <v>0</v>
      </c>
      <c r="AN26" s="852">
        <f t="shared" si="13"/>
        <v>0</v>
      </c>
    </row>
    <row r="27" spans="1:40" s="824" customFormat="1" ht="13.5" thickBot="1" x14ac:dyDescent="0.25">
      <c r="A27" s="837">
        <v>8311006</v>
      </c>
      <c r="B27" s="854">
        <v>2467</v>
      </c>
      <c r="C27" s="855" t="s">
        <v>266</v>
      </c>
      <c r="D27" s="856" t="s">
        <v>219</v>
      </c>
      <c r="E27" s="857" t="s">
        <v>27</v>
      </c>
      <c r="F27" s="858">
        <v>40</v>
      </c>
      <c r="G27" s="859"/>
      <c r="H27" s="860">
        <v>57</v>
      </c>
      <c r="I27" s="860">
        <v>58</v>
      </c>
      <c r="J27" s="860"/>
      <c r="K27" s="860">
        <v>53</v>
      </c>
      <c r="L27" s="860">
        <v>58</v>
      </c>
      <c r="M27" s="860">
        <v>46</v>
      </c>
      <c r="N27" s="860">
        <v>37</v>
      </c>
      <c r="O27" s="860"/>
      <c r="P27" s="860">
        <v>0</v>
      </c>
      <c r="Q27" s="860">
        <v>0</v>
      </c>
      <c r="R27" s="860">
        <v>0</v>
      </c>
      <c r="S27" s="860"/>
      <c r="T27" s="860">
        <v>0</v>
      </c>
      <c r="U27" s="860">
        <v>0</v>
      </c>
      <c r="V27" s="860"/>
      <c r="W27" s="860">
        <v>0</v>
      </c>
      <c r="X27" s="860">
        <v>0</v>
      </c>
      <c r="Y27" s="861">
        <v>0</v>
      </c>
      <c r="Z27" s="862">
        <f t="shared" si="0"/>
        <v>349</v>
      </c>
      <c r="AA27" s="848">
        <f t="shared" si="5"/>
        <v>0</v>
      </c>
      <c r="AB27" s="848">
        <f t="shared" si="6"/>
        <v>0</v>
      </c>
      <c r="AC27" s="849">
        <f t="shared" si="1"/>
        <v>349</v>
      </c>
      <c r="AD27" s="863">
        <f t="shared" si="2"/>
        <v>0</v>
      </c>
      <c r="AE27" s="864">
        <f t="shared" si="3"/>
        <v>349</v>
      </c>
      <c r="AG27" s="852">
        <f t="shared" si="7"/>
        <v>40</v>
      </c>
      <c r="AH27" s="852">
        <f t="shared" si="4"/>
        <v>115</v>
      </c>
      <c r="AI27" s="852">
        <f t="shared" si="8"/>
        <v>194</v>
      </c>
      <c r="AJ27" s="852">
        <f t="shared" si="9"/>
        <v>0</v>
      </c>
      <c r="AK27" s="852">
        <f t="shared" si="10"/>
        <v>0</v>
      </c>
      <c r="AL27" s="852">
        <f t="shared" si="11"/>
        <v>0</v>
      </c>
      <c r="AM27" s="853">
        <f t="shared" si="12"/>
        <v>349</v>
      </c>
      <c r="AN27" s="852">
        <f t="shared" si="13"/>
        <v>349</v>
      </c>
    </row>
    <row r="28" spans="1:40" s="824" customFormat="1" ht="13.5" thickBot="1" x14ac:dyDescent="0.25">
      <c r="A28" s="837">
        <v>8312467</v>
      </c>
      <c r="B28" s="854">
        <v>5402</v>
      </c>
      <c r="C28" s="855" t="s">
        <v>203</v>
      </c>
      <c r="D28" s="856"/>
      <c r="E28" s="857" t="s">
        <v>75</v>
      </c>
      <c r="F28" s="858">
        <v>0</v>
      </c>
      <c r="G28" s="859"/>
      <c r="H28" s="860">
        <v>0</v>
      </c>
      <c r="I28" s="860">
        <v>0</v>
      </c>
      <c r="J28" s="860"/>
      <c r="K28" s="860">
        <v>0</v>
      </c>
      <c r="L28" s="860">
        <v>0</v>
      </c>
      <c r="M28" s="860">
        <v>0</v>
      </c>
      <c r="N28" s="860">
        <v>0</v>
      </c>
      <c r="O28" s="860"/>
      <c r="P28" s="860">
        <v>267</v>
      </c>
      <c r="Q28" s="860">
        <v>262</v>
      </c>
      <c r="R28" s="860">
        <v>263</v>
      </c>
      <c r="S28" s="860"/>
      <c r="T28" s="860">
        <v>258</v>
      </c>
      <c r="U28" s="860">
        <v>276</v>
      </c>
      <c r="V28" s="860"/>
      <c r="W28" s="860">
        <v>195</v>
      </c>
      <c r="X28" s="860">
        <v>177</v>
      </c>
      <c r="Y28" s="861">
        <v>0</v>
      </c>
      <c r="Z28" s="862">
        <f t="shared" si="0"/>
        <v>0</v>
      </c>
      <c r="AA28" s="848">
        <f t="shared" si="5"/>
        <v>792</v>
      </c>
      <c r="AB28" s="848">
        <f t="shared" si="6"/>
        <v>534</v>
      </c>
      <c r="AC28" s="849">
        <f t="shared" si="1"/>
        <v>1326</v>
      </c>
      <c r="AD28" s="863">
        <f t="shared" si="2"/>
        <v>372</v>
      </c>
      <c r="AE28" s="864">
        <f t="shared" si="3"/>
        <v>1698</v>
      </c>
      <c r="AG28" s="852">
        <f t="shared" si="7"/>
        <v>0</v>
      </c>
      <c r="AH28" s="852">
        <f t="shared" si="4"/>
        <v>0</v>
      </c>
      <c r="AI28" s="852">
        <f t="shared" si="8"/>
        <v>0</v>
      </c>
      <c r="AJ28" s="852">
        <f t="shared" si="9"/>
        <v>792</v>
      </c>
      <c r="AK28" s="852">
        <f t="shared" si="10"/>
        <v>534</v>
      </c>
      <c r="AL28" s="852">
        <f t="shared" si="11"/>
        <v>372</v>
      </c>
      <c r="AM28" s="853">
        <f t="shared" si="12"/>
        <v>1326</v>
      </c>
      <c r="AN28" s="852">
        <f t="shared" si="13"/>
        <v>1698</v>
      </c>
    </row>
    <row r="29" spans="1:40" s="824" customFormat="1" ht="13.5" thickBot="1" x14ac:dyDescent="0.25">
      <c r="A29" s="837">
        <v>8315402</v>
      </c>
      <c r="B29" s="854">
        <v>2455</v>
      </c>
      <c r="C29" s="855" t="s">
        <v>266</v>
      </c>
      <c r="D29" s="856" t="s">
        <v>660</v>
      </c>
      <c r="E29" s="857" t="s">
        <v>28</v>
      </c>
      <c r="F29" s="858">
        <v>117</v>
      </c>
      <c r="G29" s="865"/>
      <c r="H29" s="860">
        <v>117</v>
      </c>
      <c r="I29" s="860">
        <v>117</v>
      </c>
      <c r="J29" s="866"/>
      <c r="K29" s="860">
        <v>0</v>
      </c>
      <c r="L29" s="860">
        <v>0</v>
      </c>
      <c r="M29" s="860">
        <v>0</v>
      </c>
      <c r="N29" s="860">
        <v>0</v>
      </c>
      <c r="O29" s="866"/>
      <c r="P29" s="866">
        <v>0</v>
      </c>
      <c r="Q29" s="866">
        <v>0</v>
      </c>
      <c r="R29" s="866">
        <v>0</v>
      </c>
      <c r="S29" s="866"/>
      <c r="T29" s="866">
        <v>0</v>
      </c>
      <c r="U29" s="866">
        <v>0</v>
      </c>
      <c r="V29" s="866"/>
      <c r="W29" s="866">
        <v>0</v>
      </c>
      <c r="X29" s="866">
        <v>0</v>
      </c>
      <c r="Y29" s="867">
        <v>0</v>
      </c>
      <c r="Z29" s="862">
        <f t="shared" si="0"/>
        <v>351</v>
      </c>
      <c r="AA29" s="848">
        <f t="shared" si="5"/>
        <v>0</v>
      </c>
      <c r="AB29" s="848">
        <f t="shared" si="6"/>
        <v>0</v>
      </c>
      <c r="AC29" s="849">
        <f t="shared" si="1"/>
        <v>351</v>
      </c>
      <c r="AD29" s="868">
        <f t="shared" si="2"/>
        <v>0</v>
      </c>
      <c r="AE29" s="864">
        <f t="shared" si="3"/>
        <v>351</v>
      </c>
      <c r="AG29" s="852">
        <f t="shared" si="7"/>
        <v>117</v>
      </c>
      <c r="AH29" s="852">
        <f t="shared" si="4"/>
        <v>234</v>
      </c>
      <c r="AI29" s="852">
        <f t="shared" si="8"/>
        <v>0</v>
      </c>
      <c r="AJ29" s="852">
        <f t="shared" si="9"/>
        <v>0</v>
      </c>
      <c r="AK29" s="852">
        <f t="shared" si="10"/>
        <v>0</v>
      </c>
      <c r="AL29" s="852">
        <f t="shared" si="11"/>
        <v>0</v>
      </c>
      <c r="AM29" s="853">
        <f t="shared" si="12"/>
        <v>351</v>
      </c>
      <c r="AN29" s="852">
        <f t="shared" si="13"/>
        <v>351</v>
      </c>
    </row>
    <row r="30" spans="1:40" s="824" customFormat="1" ht="13.5" thickBot="1" x14ac:dyDescent="0.25">
      <c r="A30" s="837">
        <v>8312455</v>
      </c>
      <c r="B30" s="854">
        <v>5203</v>
      </c>
      <c r="C30" s="855" t="s">
        <v>266</v>
      </c>
      <c r="D30" s="856" t="s">
        <v>662</v>
      </c>
      <c r="E30" s="857" t="s">
        <v>29</v>
      </c>
      <c r="F30" s="858">
        <v>0</v>
      </c>
      <c r="G30" s="859"/>
      <c r="H30" s="860">
        <v>0</v>
      </c>
      <c r="I30" s="860">
        <v>0</v>
      </c>
      <c r="J30" s="860"/>
      <c r="K30" s="860">
        <v>124</v>
      </c>
      <c r="L30" s="860">
        <v>120</v>
      </c>
      <c r="M30" s="860">
        <v>121</v>
      </c>
      <c r="N30" s="860">
        <v>120</v>
      </c>
      <c r="O30" s="860"/>
      <c r="P30" s="860">
        <v>0</v>
      </c>
      <c r="Q30" s="860">
        <v>0</v>
      </c>
      <c r="R30" s="860">
        <v>0</v>
      </c>
      <c r="S30" s="860"/>
      <c r="T30" s="860">
        <v>0</v>
      </c>
      <c r="U30" s="860">
        <v>0</v>
      </c>
      <c r="V30" s="860"/>
      <c r="W30" s="860">
        <v>0</v>
      </c>
      <c r="X30" s="860">
        <v>0</v>
      </c>
      <c r="Y30" s="861">
        <v>0</v>
      </c>
      <c r="Z30" s="862">
        <f t="shared" si="0"/>
        <v>485</v>
      </c>
      <c r="AA30" s="848">
        <f t="shared" si="5"/>
        <v>0</v>
      </c>
      <c r="AB30" s="848">
        <f t="shared" si="6"/>
        <v>0</v>
      </c>
      <c r="AC30" s="849">
        <f t="shared" si="1"/>
        <v>485</v>
      </c>
      <c r="AD30" s="863">
        <f t="shared" si="2"/>
        <v>0</v>
      </c>
      <c r="AE30" s="864">
        <f t="shared" si="3"/>
        <v>485</v>
      </c>
      <c r="AG30" s="852">
        <f t="shared" si="7"/>
        <v>0</v>
      </c>
      <c r="AH30" s="852">
        <f t="shared" si="4"/>
        <v>0</v>
      </c>
      <c r="AI30" s="852">
        <f t="shared" si="8"/>
        <v>485</v>
      </c>
      <c r="AJ30" s="852">
        <f t="shared" si="9"/>
        <v>0</v>
      </c>
      <c r="AK30" s="852">
        <f t="shared" si="10"/>
        <v>0</v>
      </c>
      <c r="AL30" s="852">
        <f t="shared" si="11"/>
        <v>0</v>
      </c>
      <c r="AM30" s="853">
        <f t="shared" si="12"/>
        <v>485</v>
      </c>
      <c r="AN30" s="852">
        <f t="shared" si="13"/>
        <v>485</v>
      </c>
    </row>
    <row r="31" spans="1:40" s="824" customFormat="1" ht="13.5" thickBot="1" x14ac:dyDescent="0.25">
      <c r="A31" s="837">
        <v>8315203</v>
      </c>
      <c r="B31" s="854">
        <v>2451</v>
      </c>
      <c r="C31" s="855" t="s">
        <v>266</v>
      </c>
      <c r="D31" s="856" t="s">
        <v>220</v>
      </c>
      <c r="E31" s="857" t="s">
        <v>30</v>
      </c>
      <c r="F31" s="858">
        <v>76</v>
      </c>
      <c r="G31" s="859"/>
      <c r="H31" s="860">
        <v>89</v>
      </c>
      <c r="I31" s="860">
        <v>70</v>
      </c>
      <c r="J31" s="860"/>
      <c r="K31" s="860">
        <v>66</v>
      </c>
      <c r="L31" s="860">
        <v>60</v>
      </c>
      <c r="M31" s="860">
        <v>59</v>
      </c>
      <c r="N31" s="860">
        <v>52</v>
      </c>
      <c r="O31" s="860"/>
      <c r="P31" s="860">
        <v>0</v>
      </c>
      <c r="Q31" s="860">
        <v>0</v>
      </c>
      <c r="R31" s="860">
        <v>0</v>
      </c>
      <c r="S31" s="860"/>
      <c r="T31" s="860">
        <v>0</v>
      </c>
      <c r="U31" s="860">
        <v>0</v>
      </c>
      <c r="V31" s="860"/>
      <c r="W31" s="860">
        <v>0</v>
      </c>
      <c r="X31" s="860">
        <v>0</v>
      </c>
      <c r="Y31" s="861">
        <v>0</v>
      </c>
      <c r="Z31" s="862">
        <f t="shared" si="0"/>
        <v>472</v>
      </c>
      <c r="AA31" s="848">
        <f t="shared" si="5"/>
        <v>0</v>
      </c>
      <c r="AB31" s="848">
        <f t="shared" si="6"/>
        <v>0</v>
      </c>
      <c r="AC31" s="849">
        <f t="shared" si="1"/>
        <v>472</v>
      </c>
      <c r="AD31" s="863">
        <f t="shared" si="2"/>
        <v>0</v>
      </c>
      <c r="AE31" s="864">
        <f t="shared" si="3"/>
        <v>472</v>
      </c>
      <c r="AG31" s="852">
        <f t="shared" si="7"/>
        <v>76</v>
      </c>
      <c r="AH31" s="852">
        <f t="shared" si="4"/>
        <v>159</v>
      </c>
      <c r="AI31" s="852">
        <f t="shared" si="8"/>
        <v>237</v>
      </c>
      <c r="AJ31" s="852">
        <f t="shared" si="9"/>
        <v>0</v>
      </c>
      <c r="AK31" s="852">
        <f t="shared" si="10"/>
        <v>0</v>
      </c>
      <c r="AL31" s="852">
        <f t="shared" si="11"/>
        <v>0</v>
      </c>
      <c r="AM31" s="853">
        <f t="shared" si="12"/>
        <v>472</v>
      </c>
      <c r="AN31" s="852">
        <f t="shared" si="13"/>
        <v>472</v>
      </c>
    </row>
    <row r="32" spans="1:40" s="824" customFormat="1" ht="13.5" thickBot="1" x14ac:dyDescent="0.25">
      <c r="A32" s="837">
        <v>8312451</v>
      </c>
      <c r="B32" s="854">
        <v>4002</v>
      </c>
      <c r="C32" s="855" t="s">
        <v>203</v>
      </c>
      <c r="D32" s="856"/>
      <c r="E32" s="857" t="s">
        <v>452</v>
      </c>
      <c r="F32" s="858">
        <v>0</v>
      </c>
      <c r="G32" s="859"/>
      <c r="H32" s="860">
        <v>0</v>
      </c>
      <c r="I32" s="860">
        <v>0</v>
      </c>
      <c r="J32" s="860"/>
      <c r="K32" s="860">
        <v>0</v>
      </c>
      <c r="L32" s="860">
        <v>0</v>
      </c>
      <c r="M32" s="860">
        <v>0</v>
      </c>
      <c r="N32" s="860">
        <v>0</v>
      </c>
      <c r="O32" s="860"/>
      <c r="P32" s="860">
        <v>176</v>
      </c>
      <c r="Q32" s="860">
        <v>125</v>
      </c>
      <c r="R32" s="860">
        <v>142</v>
      </c>
      <c r="S32" s="860"/>
      <c r="T32" s="860">
        <v>141</v>
      </c>
      <c r="U32" s="860">
        <v>194</v>
      </c>
      <c r="V32" s="860"/>
      <c r="W32" s="860">
        <v>0</v>
      </c>
      <c r="X32" s="860">
        <v>0</v>
      </c>
      <c r="Y32" s="861">
        <v>0</v>
      </c>
      <c r="Z32" s="862">
        <f t="shared" si="0"/>
        <v>0</v>
      </c>
      <c r="AA32" s="848">
        <f t="shared" si="5"/>
        <v>443</v>
      </c>
      <c r="AB32" s="848">
        <f t="shared" si="6"/>
        <v>335</v>
      </c>
      <c r="AC32" s="849">
        <f t="shared" si="1"/>
        <v>778</v>
      </c>
      <c r="AD32" s="863">
        <f t="shared" si="2"/>
        <v>0</v>
      </c>
      <c r="AE32" s="864">
        <f t="shared" si="3"/>
        <v>778</v>
      </c>
      <c r="AG32" s="852">
        <f t="shared" si="7"/>
        <v>0</v>
      </c>
      <c r="AH32" s="852">
        <f t="shared" si="4"/>
        <v>0</v>
      </c>
      <c r="AI32" s="852">
        <f t="shared" si="8"/>
        <v>0</v>
      </c>
      <c r="AJ32" s="852">
        <f t="shared" si="9"/>
        <v>443</v>
      </c>
      <c r="AK32" s="852">
        <f t="shared" si="10"/>
        <v>335</v>
      </c>
      <c r="AL32" s="852">
        <f t="shared" si="11"/>
        <v>0</v>
      </c>
      <c r="AM32" s="853">
        <f t="shared" si="12"/>
        <v>778</v>
      </c>
      <c r="AN32" s="852">
        <f t="shared" si="13"/>
        <v>778</v>
      </c>
    </row>
    <row r="33" spans="1:40" s="824" customFormat="1" ht="13.5" thickBot="1" x14ac:dyDescent="0.25">
      <c r="A33" s="837">
        <v>8314002</v>
      </c>
      <c r="B33" s="854">
        <v>2430</v>
      </c>
      <c r="C33" s="855" t="s">
        <v>266</v>
      </c>
      <c r="D33" s="856" t="s">
        <v>239</v>
      </c>
      <c r="E33" s="857" t="s">
        <v>451</v>
      </c>
      <c r="F33" s="858">
        <v>22</v>
      </c>
      <c r="G33" s="859"/>
      <c r="H33" s="860">
        <v>18</v>
      </c>
      <c r="I33" s="860">
        <v>20</v>
      </c>
      <c r="J33" s="860"/>
      <c r="K33" s="860">
        <v>18</v>
      </c>
      <c r="L33" s="860">
        <v>16</v>
      </c>
      <c r="M33" s="860">
        <v>7</v>
      </c>
      <c r="N33" s="860">
        <v>19</v>
      </c>
      <c r="O33" s="860"/>
      <c r="P33" s="860">
        <v>0</v>
      </c>
      <c r="Q33" s="860">
        <v>0</v>
      </c>
      <c r="R33" s="860">
        <v>0</v>
      </c>
      <c r="S33" s="860"/>
      <c r="T33" s="860">
        <v>0</v>
      </c>
      <c r="U33" s="860">
        <v>0</v>
      </c>
      <c r="V33" s="860"/>
      <c r="W33" s="860">
        <v>0</v>
      </c>
      <c r="X33" s="860">
        <v>0</v>
      </c>
      <c r="Y33" s="861">
        <v>0</v>
      </c>
      <c r="Z33" s="862">
        <f t="shared" si="0"/>
        <v>120</v>
      </c>
      <c r="AA33" s="848">
        <f t="shared" si="5"/>
        <v>0</v>
      </c>
      <c r="AB33" s="848">
        <f t="shared" si="6"/>
        <v>0</v>
      </c>
      <c r="AC33" s="849">
        <f t="shared" si="1"/>
        <v>120</v>
      </c>
      <c r="AD33" s="863">
        <f t="shared" si="2"/>
        <v>0</v>
      </c>
      <c r="AE33" s="864">
        <f t="shared" si="3"/>
        <v>120</v>
      </c>
      <c r="AG33" s="852">
        <f t="shared" si="7"/>
        <v>22</v>
      </c>
      <c r="AH33" s="852">
        <f t="shared" si="4"/>
        <v>38</v>
      </c>
      <c r="AI33" s="852">
        <f t="shared" si="8"/>
        <v>60</v>
      </c>
      <c r="AJ33" s="852">
        <f t="shared" si="9"/>
        <v>0</v>
      </c>
      <c r="AK33" s="852">
        <f t="shared" si="10"/>
        <v>0</v>
      </c>
      <c r="AL33" s="852">
        <f t="shared" si="11"/>
        <v>0</v>
      </c>
      <c r="AM33" s="853">
        <f t="shared" si="12"/>
        <v>120</v>
      </c>
      <c r="AN33" s="852">
        <f t="shared" si="13"/>
        <v>120</v>
      </c>
    </row>
    <row r="34" spans="1:40" s="824" customFormat="1" ht="13.5" thickBot="1" x14ac:dyDescent="0.25">
      <c r="A34" s="837">
        <v>8312430</v>
      </c>
      <c r="B34" s="854">
        <v>4608</v>
      </c>
      <c r="C34" s="855" t="s">
        <v>203</v>
      </c>
      <c r="D34" s="856" t="s">
        <v>685</v>
      </c>
      <c r="E34" s="857" t="s">
        <v>962</v>
      </c>
      <c r="F34" s="858">
        <v>0</v>
      </c>
      <c r="G34" s="859"/>
      <c r="H34" s="860">
        <v>0</v>
      </c>
      <c r="I34" s="860">
        <v>0</v>
      </c>
      <c r="J34" s="860"/>
      <c r="K34" s="860">
        <v>0</v>
      </c>
      <c r="L34" s="860">
        <v>0</v>
      </c>
      <c r="M34" s="860">
        <v>0</v>
      </c>
      <c r="N34" s="860">
        <v>0</v>
      </c>
      <c r="O34" s="860"/>
      <c r="P34" s="860">
        <v>116</v>
      </c>
      <c r="Q34" s="860">
        <v>96</v>
      </c>
      <c r="R34" s="860">
        <v>108</v>
      </c>
      <c r="S34" s="860">
        <v>-1</v>
      </c>
      <c r="T34" s="860">
        <v>117</v>
      </c>
      <c r="U34" s="860">
        <v>119</v>
      </c>
      <c r="V34" s="860">
        <v>-1</v>
      </c>
      <c r="W34" s="860">
        <v>0</v>
      </c>
      <c r="X34" s="860">
        <v>0</v>
      </c>
      <c r="Y34" s="861">
        <v>0</v>
      </c>
      <c r="Z34" s="862">
        <f t="shared" si="0"/>
        <v>0</v>
      </c>
      <c r="AA34" s="848">
        <f t="shared" si="5"/>
        <v>319</v>
      </c>
      <c r="AB34" s="848">
        <f t="shared" si="6"/>
        <v>235</v>
      </c>
      <c r="AC34" s="849">
        <f t="shared" si="1"/>
        <v>554</v>
      </c>
      <c r="AD34" s="863">
        <f t="shared" si="2"/>
        <v>0</v>
      </c>
      <c r="AE34" s="864">
        <f t="shared" si="3"/>
        <v>554</v>
      </c>
      <c r="AG34" s="852">
        <f t="shared" si="7"/>
        <v>0</v>
      </c>
      <c r="AH34" s="852">
        <f t="shared" si="4"/>
        <v>0</v>
      </c>
      <c r="AI34" s="852">
        <f t="shared" si="8"/>
        <v>0</v>
      </c>
      <c r="AJ34" s="852">
        <f t="shared" si="9"/>
        <v>319</v>
      </c>
      <c r="AK34" s="852">
        <f t="shared" si="10"/>
        <v>235</v>
      </c>
      <c r="AL34" s="852">
        <f t="shared" si="11"/>
        <v>0</v>
      </c>
      <c r="AM34" s="853">
        <f t="shared" si="12"/>
        <v>554</v>
      </c>
      <c r="AN34" s="852">
        <f t="shared" si="13"/>
        <v>554</v>
      </c>
    </row>
    <row r="35" spans="1:40" s="824" customFormat="1" ht="13.5" thickBot="1" x14ac:dyDescent="0.25">
      <c r="A35" s="837">
        <v>8314608</v>
      </c>
      <c r="B35" s="854">
        <v>2409</v>
      </c>
      <c r="C35" s="855" t="s">
        <v>266</v>
      </c>
      <c r="D35" s="856" t="s">
        <v>663</v>
      </c>
      <c r="E35" s="857" t="s">
        <v>31</v>
      </c>
      <c r="F35" s="858">
        <v>75</v>
      </c>
      <c r="G35" s="859"/>
      <c r="H35" s="860">
        <v>76</v>
      </c>
      <c r="I35" s="860">
        <v>74</v>
      </c>
      <c r="J35" s="860"/>
      <c r="K35" s="860">
        <v>84</v>
      </c>
      <c r="L35" s="860">
        <v>81</v>
      </c>
      <c r="M35" s="860">
        <v>80</v>
      </c>
      <c r="N35" s="860">
        <v>82</v>
      </c>
      <c r="O35" s="860"/>
      <c r="P35" s="860">
        <v>0</v>
      </c>
      <c r="Q35" s="860">
        <v>0</v>
      </c>
      <c r="R35" s="860">
        <v>0</v>
      </c>
      <c r="S35" s="860"/>
      <c r="T35" s="860">
        <v>0</v>
      </c>
      <c r="U35" s="860">
        <v>0</v>
      </c>
      <c r="V35" s="860"/>
      <c r="W35" s="860">
        <v>0</v>
      </c>
      <c r="X35" s="860">
        <v>0</v>
      </c>
      <c r="Y35" s="861">
        <v>0</v>
      </c>
      <c r="Z35" s="862">
        <f t="shared" ref="Z35:Z59" si="14">SUM(F35:O35)</f>
        <v>552</v>
      </c>
      <c r="AA35" s="848">
        <f t="shared" si="5"/>
        <v>0</v>
      </c>
      <c r="AB35" s="848">
        <f t="shared" si="6"/>
        <v>0</v>
      </c>
      <c r="AC35" s="849">
        <f t="shared" si="1"/>
        <v>552</v>
      </c>
      <c r="AD35" s="863">
        <f t="shared" si="2"/>
        <v>0</v>
      </c>
      <c r="AE35" s="864">
        <f t="shared" si="3"/>
        <v>552</v>
      </c>
      <c r="AG35" s="852">
        <f t="shared" si="7"/>
        <v>75</v>
      </c>
      <c r="AH35" s="852">
        <f t="shared" si="4"/>
        <v>150</v>
      </c>
      <c r="AI35" s="852">
        <f t="shared" si="8"/>
        <v>327</v>
      </c>
      <c r="AJ35" s="852">
        <f t="shared" si="9"/>
        <v>0</v>
      </c>
      <c r="AK35" s="852">
        <f t="shared" si="10"/>
        <v>0</v>
      </c>
      <c r="AL35" s="852">
        <f t="shared" si="11"/>
        <v>0</v>
      </c>
      <c r="AM35" s="853">
        <f t="shared" si="12"/>
        <v>552</v>
      </c>
      <c r="AN35" s="852">
        <f t="shared" si="13"/>
        <v>552</v>
      </c>
    </row>
    <row r="36" spans="1:40" s="824" customFormat="1" ht="13.5" thickBot="1" x14ac:dyDescent="0.25">
      <c r="A36" s="837">
        <v>8312409</v>
      </c>
      <c r="B36" s="854">
        <v>4178</v>
      </c>
      <c r="C36" s="855" t="s">
        <v>203</v>
      </c>
      <c r="D36" s="856" t="s">
        <v>687</v>
      </c>
      <c r="E36" s="857" t="s">
        <v>111</v>
      </c>
      <c r="F36" s="858">
        <v>0</v>
      </c>
      <c r="G36" s="859"/>
      <c r="H36" s="860">
        <v>0</v>
      </c>
      <c r="I36" s="860">
        <v>0</v>
      </c>
      <c r="J36" s="860"/>
      <c r="K36" s="860">
        <v>0</v>
      </c>
      <c r="L36" s="860">
        <v>0</v>
      </c>
      <c r="M36" s="860">
        <v>0</v>
      </c>
      <c r="N36" s="860">
        <v>0</v>
      </c>
      <c r="O36" s="860"/>
      <c r="P36" s="860">
        <v>261</v>
      </c>
      <c r="Q36" s="860">
        <v>266</v>
      </c>
      <c r="R36" s="860">
        <v>260</v>
      </c>
      <c r="S36" s="860"/>
      <c r="T36" s="860">
        <v>260</v>
      </c>
      <c r="U36" s="860">
        <v>261</v>
      </c>
      <c r="V36" s="860"/>
      <c r="W36" s="860">
        <v>125</v>
      </c>
      <c r="X36" s="860">
        <v>100</v>
      </c>
      <c r="Y36" s="861">
        <v>0</v>
      </c>
      <c r="Z36" s="862">
        <f t="shared" si="14"/>
        <v>0</v>
      </c>
      <c r="AA36" s="848">
        <f t="shared" si="5"/>
        <v>787</v>
      </c>
      <c r="AB36" s="848">
        <f t="shared" si="6"/>
        <v>521</v>
      </c>
      <c r="AC36" s="849">
        <f t="shared" si="1"/>
        <v>1308</v>
      </c>
      <c r="AD36" s="863">
        <f t="shared" si="2"/>
        <v>225</v>
      </c>
      <c r="AE36" s="864">
        <f t="shared" si="3"/>
        <v>1533</v>
      </c>
      <c r="AG36" s="852">
        <f t="shared" si="7"/>
        <v>0</v>
      </c>
      <c r="AH36" s="852">
        <f t="shared" si="4"/>
        <v>0</v>
      </c>
      <c r="AI36" s="852">
        <f t="shared" si="8"/>
        <v>0</v>
      </c>
      <c r="AJ36" s="852">
        <f t="shared" si="9"/>
        <v>787</v>
      </c>
      <c r="AK36" s="852">
        <f t="shared" si="10"/>
        <v>521</v>
      </c>
      <c r="AL36" s="852">
        <f t="shared" si="11"/>
        <v>225</v>
      </c>
      <c r="AM36" s="853">
        <f t="shared" si="12"/>
        <v>1308</v>
      </c>
      <c r="AN36" s="852">
        <f t="shared" si="13"/>
        <v>1533</v>
      </c>
    </row>
    <row r="37" spans="1:40" s="824" customFormat="1" ht="13.5" thickBot="1" x14ac:dyDescent="0.25">
      <c r="A37" s="837">
        <v>8314178</v>
      </c>
      <c r="B37" s="854">
        <v>1105</v>
      </c>
      <c r="C37" s="855" t="s">
        <v>963</v>
      </c>
      <c r="D37" s="856"/>
      <c r="E37" s="857" t="s">
        <v>964</v>
      </c>
      <c r="F37" s="858">
        <v>0</v>
      </c>
      <c r="G37" s="859"/>
      <c r="H37" s="860">
        <v>0</v>
      </c>
      <c r="I37" s="860">
        <v>0</v>
      </c>
      <c r="J37" s="860"/>
      <c r="K37" s="860">
        <v>0</v>
      </c>
      <c r="L37" s="860">
        <v>0</v>
      </c>
      <c r="M37" s="860">
        <v>0</v>
      </c>
      <c r="N37" s="860">
        <v>0</v>
      </c>
      <c r="O37" s="860"/>
      <c r="P37" s="860">
        <v>0</v>
      </c>
      <c r="Q37" s="860">
        <v>0</v>
      </c>
      <c r="R37" s="860">
        <v>0</v>
      </c>
      <c r="S37" s="860"/>
      <c r="T37" s="860">
        <v>4</v>
      </c>
      <c r="U37" s="860">
        <v>0</v>
      </c>
      <c r="V37" s="870"/>
      <c r="W37" s="860">
        <v>0</v>
      </c>
      <c r="X37" s="860">
        <v>0</v>
      </c>
      <c r="Y37" s="861">
        <v>0</v>
      </c>
      <c r="Z37" s="862">
        <f t="shared" si="14"/>
        <v>0</v>
      </c>
      <c r="AA37" s="848">
        <f t="shared" si="5"/>
        <v>0</v>
      </c>
      <c r="AB37" s="848">
        <f t="shared" si="6"/>
        <v>4</v>
      </c>
      <c r="AC37" s="849">
        <f t="shared" si="1"/>
        <v>4</v>
      </c>
      <c r="AD37" s="863">
        <f t="shared" si="2"/>
        <v>0</v>
      </c>
      <c r="AE37" s="864">
        <f t="shared" si="3"/>
        <v>4</v>
      </c>
      <c r="AG37" s="852">
        <f t="shared" si="7"/>
        <v>0</v>
      </c>
      <c r="AH37" s="852">
        <f t="shared" si="4"/>
        <v>0</v>
      </c>
      <c r="AI37" s="852">
        <f t="shared" si="8"/>
        <v>0</v>
      </c>
      <c r="AJ37" s="852">
        <f t="shared" si="9"/>
        <v>0</v>
      </c>
      <c r="AK37" s="852">
        <f t="shared" si="10"/>
        <v>4</v>
      </c>
      <c r="AL37" s="852">
        <f t="shared" si="11"/>
        <v>0</v>
      </c>
      <c r="AM37" s="853">
        <f t="shared" si="12"/>
        <v>4</v>
      </c>
      <c r="AN37" s="852">
        <f t="shared" si="13"/>
        <v>4</v>
      </c>
    </row>
    <row r="38" spans="1:40" s="824" customFormat="1" ht="13.5" thickBot="1" x14ac:dyDescent="0.25">
      <c r="A38" s="837">
        <v>8312619</v>
      </c>
      <c r="B38" s="854">
        <v>2619</v>
      </c>
      <c r="C38" s="855" t="s">
        <v>266</v>
      </c>
      <c r="D38" s="856" t="s">
        <v>221</v>
      </c>
      <c r="E38" s="857" t="s">
        <v>32</v>
      </c>
      <c r="F38" s="858">
        <v>32</v>
      </c>
      <c r="G38" s="859"/>
      <c r="H38" s="860">
        <v>27</v>
      </c>
      <c r="I38" s="860">
        <v>39</v>
      </c>
      <c r="J38" s="860"/>
      <c r="K38" s="860">
        <v>29</v>
      </c>
      <c r="L38" s="860">
        <v>25</v>
      </c>
      <c r="M38" s="860">
        <v>25</v>
      </c>
      <c r="N38" s="860">
        <v>27</v>
      </c>
      <c r="O38" s="860"/>
      <c r="P38" s="860">
        <v>0</v>
      </c>
      <c r="Q38" s="860">
        <v>0</v>
      </c>
      <c r="R38" s="860">
        <v>0</v>
      </c>
      <c r="S38" s="860"/>
      <c r="T38" s="860">
        <v>0</v>
      </c>
      <c r="U38" s="860">
        <v>0</v>
      </c>
      <c r="V38" s="860"/>
      <c r="W38" s="860">
        <v>0</v>
      </c>
      <c r="X38" s="860">
        <v>0</v>
      </c>
      <c r="Y38" s="861">
        <v>0</v>
      </c>
      <c r="Z38" s="862">
        <f t="shared" si="14"/>
        <v>204</v>
      </c>
      <c r="AA38" s="848">
        <f t="shared" si="5"/>
        <v>0</v>
      </c>
      <c r="AB38" s="848">
        <f t="shared" si="6"/>
        <v>0</v>
      </c>
      <c r="AC38" s="849">
        <f t="shared" si="1"/>
        <v>204</v>
      </c>
      <c r="AD38" s="863">
        <f t="shared" si="2"/>
        <v>0</v>
      </c>
      <c r="AE38" s="864">
        <f t="shared" si="3"/>
        <v>204</v>
      </c>
      <c r="AG38" s="852">
        <f t="shared" si="7"/>
        <v>32</v>
      </c>
      <c r="AH38" s="852">
        <f t="shared" si="4"/>
        <v>66</v>
      </c>
      <c r="AI38" s="852">
        <f t="shared" si="8"/>
        <v>106</v>
      </c>
      <c r="AJ38" s="852">
        <f t="shared" si="9"/>
        <v>0</v>
      </c>
      <c r="AK38" s="852">
        <f t="shared" si="10"/>
        <v>0</v>
      </c>
      <c r="AL38" s="852">
        <f t="shared" si="11"/>
        <v>0</v>
      </c>
      <c r="AM38" s="853">
        <f t="shared" si="12"/>
        <v>204</v>
      </c>
      <c r="AN38" s="852">
        <f t="shared" si="13"/>
        <v>204</v>
      </c>
    </row>
    <row r="39" spans="1:40" s="824" customFormat="1" ht="13.5" thickBot="1" x14ac:dyDescent="0.25">
      <c r="A39" s="837">
        <v>8312518</v>
      </c>
      <c r="B39" s="854">
        <v>2518</v>
      </c>
      <c r="C39" s="855" t="s">
        <v>266</v>
      </c>
      <c r="D39" s="856" t="s">
        <v>222</v>
      </c>
      <c r="E39" s="857" t="s">
        <v>33</v>
      </c>
      <c r="F39" s="858">
        <v>48</v>
      </c>
      <c r="G39" s="859"/>
      <c r="H39" s="860">
        <v>55</v>
      </c>
      <c r="I39" s="860">
        <v>58</v>
      </c>
      <c r="J39" s="860"/>
      <c r="K39" s="860">
        <v>50</v>
      </c>
      <c r="L39" s="860">
        <v>45</v>
      </c>
      <c r="M39" s="860">
        <v>43</v>
      </c>
      <c r="N39" s="860">
        <v>41</v>
      </c>
      <c r="O39" s="860"/>
      <c r="P39" s="860">
        <v>0</v>
      </c>
      <c r="Q39" s="860">
        <v>0</v>
      </c>
      <c r="R39" s="860">
        <v>0</v>
      </c>
      <c r="S39" s="860"/>
      <c r="T39" s="860">
        <v>0</v>
      </c>
      <c r="U39" s="860">
        <v>0</v>
      </c>
      <c r="V39" s="860"/>
      <c r="W39" s="860">
        <v>0</v>
      </c>
      <c r="X39" s="860">
        <v>0</v>
      </c>
      <c r="Y39" s="861">
        <v>0</v>
      </c>
      <c r="Z39" s="862">
        <f t="shared" si="14"/>
        <v>340</v>
      </c>
      <c r="AA39" s="848">
        <f t="shared" si="5"/>
        <v>0</v>
      </c>
      <c r="AB39" s="848">
        <f t="shared" si="6"/>
        <v>0</v>
      </c>
      <c r="AC39" s="849">
        <f t="shared" si="1"/>
        <v>340</v>
      </c>
      <c r="AD39" s="863">
        <f t="shared" si="2"/>
        <v>0</v>
      </c>
      <c r="AE39" s="864">
        <f t="shared" si="3"/>
        <v>340</v>
      </c>
      <c r="AG39" s="852">
        <f t="shared" si="7"/>
        <v>48</v>
      </c>
      <c r="AH39" s="852">
        <f t="shared" si="4"/>
        <v>113</v>
      </c>
      <c r="AI39" s="852">
        <f t="shared" si="8"/>
        <v>179</v>
      </c>
      <c r="AJ39" s="852">
        <f t="shared" si="9"/>
        <v>0</v>
      </c>
      <c r="AK39" s="852">
        <f t="shared" si="10"/>
        <v>0</v>
      </c>
      <c r="AL39" s="852">
        <f t="shared" si="11"/>
        <v>0</v>
      </c>
      <c r="AM39" s="853">
        <f t="shared" si="12"/>
        <v>340</v>
      </c>
      <c r="AN39" s="852">
        <f t="shared" si="13"/>
        <v>340</v>
      </c>
    </row>
    <row r="40" spans="1:40" s="824" customFormat="1" ht="13.5" thickBot="1" x14ac:dyDescent="0.25">
      <c r="A40" s="837">
        <v>8312457</v>
      </c>
      <c r="B40" s="854">
        <v>2457</v>
      </c>
      <c r="C40" s="855" t="s">
        <v>266</v>
      </c>
      <c r="D40" s="856" t="s">
        <v>664</v>
      </c>
      <c r="E40" s="857" t="s">
        <v>34</v>
      </c>
      <c r="F40" s="858">
        <v>0</v>
      </c>
      <c r="G40" s="859"/>
      <c r="H40" s="860">
        <v>0</v>
      </c>
      <c r="I40" s="860">
        <v>0</v>
      </c>
      <c r="J40" s="860"/>
      <c r="K40" s="860">
        <v>89</v>
      </c>
      <c r="L40" s="860">
        <v>90</v>
      </c>
      <c r="M40" s="860">
        <v>95</v>
      </c>
      <c r="N40" s="860">
        <v>88</v>
      </c>
      <c r="O40" s="860"/>
      <c r="P40" s="860">
        <v>0</v>
      </c>
      <c r="Q40" s="860">
        <v>0</v>
      </c>
      <c r="R40" s="860">
        <v>0</v>
      </c>
      <c r="S40" s="860"/>
      <c r="T40" s="860">
        <v>0</v>
      </c>
      <c r="U40" s="860">
        <v>0</v>
      </c>
      <c r="V40" s="860"/>
      <c r="W40" s="860">
        <v>0</v>
      </c>
      <c r="X40" s="860">
        <v>0</v>
      </c>
      <c r="Y40" s="861">
        <v>0</v>
      </c>
      <c r="Z40" s="871">
        <f t="shared" si="14"/>
        <v>362</v>
      </c>
      <c r="AA40" s="848">
        <f t="shared" si="5"/>
        <v>0</v>
      </c>
      <c r="AB40" s="848">
        <f t="shared" si="6"/>
        <v>0</v>
      </c>
      <c r="AC40" s="849">
        <f t="shared" si="1"/>
        <v>362</v>
      </c>
      <c r="AD40" s="872">
        <f t="shared" si="2"/>
        <v>0</v>
      </c>
      <c r="AE40" s="873">
        <f t="shared" si="3"/>
        <v>362</v>
      </c>
      <c r="AG40" s="852">
        <f t="shared" si="7"/>
        <v>0</v>
      </c>
      <c r="AH40" s="852">
        <f t="shared" si="4"/>
        <v>0</v>
      </c>
      <c r="AI40" s="852">
        <f t="shared" si="8"/>
        <v>362</v>
      </c>
      <c r="AJ40" s="852">
        <f t="shared" si="9"/>
        <v>0</v>
      </c>
      <c r="AK40" s="852">
        <f t="shared" si="10"/>
        <v>0</v>
      </c>
      <c r="AL40" s="852">
        <f t="shared" si="11"/>
        <v>0</v>
      </c>
      <c r="AM40" s="853">
        <f t="shared" si="12"/>
        <v>362</v>
      </c>
      <c r="AN40" s="852">
        <f t="shared" si="13"/>
        <v>362</v>
      </c>
    </row>
    <row r="41" spans="1:40" s="824" customFormat="1" ht="13.5" thickBot="1" x14ac:dyDescent="0.25">
      <c r="A41" s="837">
        <v>8312010</v>
      </c>
      <c r="B41" s="854">
        <v>2010</v>
      </c>
      <c r="C41" s="855" t="s">
        <v>266</v>
      </c>
      <c r="D41" s="856"/>
      <c r="E41" s="857" t="s">
        <v>99</v>
      </c>
      <c r="F41" s="858">
        <v>32</v>
      </c>
      <c r="G41" s="865"/>
      <c r="H41" s="860">
        <v>30</v>
      </c>
      <c r="I41" s="860">
        <v>30</v>
      </c>
      <c r="J41" s="866"/>
      <c r="K41" s="860">
        <v>30</v>
      </c>
      <c r="L41" s="860">
        <v>30</v>
      </c>
      <c r="M41" s="860">
        <v>30</v>
      </c>
      <c r="N41" s="860">
        <v>22</v>
      </c>
      <c r="O41" s="866"/>
      <c r="P41" s="866">
        <v>0</v>
      </c>
      <c r="Q41" s="866">
        <v>0</v>
      </c>
      <c r="R41" s="866">
        <v>0</v>
      </c>
      <c r="S41" s="866"/>
      <c r="T41" s="866">
        <v>0</v>
      </c>
      <c r="U41" s="866">
        <v>0</v>
      </c>
      <c r="V41" s="866"/>
      <c r="W41" s="866">
        <v>0</v>
      </c>
      <c r="X41" s="866">
        <v>0</v>
      </c>
      <c r="Y41" s="867">
        <v>0</v>
      </c>
      <c r="Z41" s="862">
        <f t="shared" si="14"/>
        <v>204</v>
      </c>
      <c r="AA41" s="848">
        <f t="shared" si="5"/>
        <v>0</v>
      </c>
      <c r="AB41" s="848">
        <f t="shared" si="6"/>
        <v>0</v>
      </c>
      <c r="AC41" s="849">
        <f t="shared" si="1"/>
        <v>204</v>
      </c>
      <c r="AD41" s="868">
        <f t="shared" si="2"/>
        <v>0</v>
      </c>
      <c r="AE41" s="864">
        <f t="shared" si="3"/>
        <v>204</v>
      </c>
      <c r="AG41" s="852">
        <f t="shared" si="7"/>
        <v>32</v>
      </c>
      <c r="AH41" s="852">
        <f t="shared" si="4"/>
        <v>60</v>
      </c>
      <c r="AI41" s="852">
        <f t="shared" si="8"/>
        <v>112</v>
      </c>
      <c r="AJ41" s="852">
        <f t="shared" si="9"/>
        <v>0</v>
      </c>
      <c r="AK41" s="852">
        <f t="shared" si="10"/>
        <v>0</v>
      </c>
      <c r="AL41" s="852">
        <f t="shared" si="11"/>
        <v>0</v>
      </c>
      <c r="AM41" s="853">
        <f t="shared" si="12"/>
        <v>204</v>
      </c>
      <c r="AN41" s="852">
        <f t="shared" si="13"/>
        <v>204</v>
      </c>
    </row>
    <row r="42" spans="1:40" s="824" customFormat="1" ht="13.5" thickBot="1" x14ac:dyDescent="0.25">
      <c r="A42" s="837">
        <v>8312002</v>
      </c>
      <c r="B42" s="854">
        <v>2002</v>
      </c>
      <c r="C42" s="855" t="s">
        <v>266</v>
      </c>
      <c r="D42" s="856" t="s">
        <v>223</v>
      </c>
      <c r="E42" s="857" t="s">
        <v>35</v>
      </c>
      <c r="F42" s="858">
        <v>61</v>
      </c>
      <c r="G42" s="859"/>
      <c r="H42" s="860">
        <v>60</v>
      </c>
      <c r="I42" s="860">
        <v>59</v>
      </c>
      <c r="J42" s="860"/>
      <c r="K42" s="860">
        <v>64</v>
      </c>
      <c r="L42" s="860">
        <v>60</v>
      </c>
      <c r="M42" s="860">
        <v>64</v>
      </c>
      <c r="N42" s="860">
        <v>62</v>
      </c>
      <c r="O42" s="860"/>
      <c r="P42" s="860">
        <v>0</v>
      </c>
      <c r="Q42" s="860">
        <v>0</v>
      </c>
      <c r="R42" s="860">
        <v>0</v>
      </c>
      <c r="S42" s="860"/>
      <c r="T42" s="860">
        <v>0</v>
      </c>
      <c r="U42" s="860">
        <v>0</v>
      </c>
      <c r="V42" s="860"/>
      <c r="W42" s="860">
        <v>0</v>
      </c>
      <c r="X42" s="860">
        <v>0</v>
      </c>
      <c r="Y42" s="861">
        <v>0</v>
      </c>
      <c r="Z42" s="862">
        <f t="shared" si="14"/>
        <v>430</v>
      </c>
      <c r="AA42" s="848">
        <f t="shared" si="5"/>
        <v>0</v>
      </c>
      <c r="AB42" s="848">
        <f t="shared" si="6"/>
        <v>0</v>
      </c>
      <c r="AC42" s="849">
        <f t="shared" si="1"/>
        <v>430</v>
      </c>
      <c r="AD42" s="863">
        <f t="shared" si="2"/>
        <v>0</v>
      </c>
      <c r="AE42" s="864">
        <f t="shared" si="3"/>
        <v>430</v>
      </c>
      <c r="AG42" s="852">
        <f t="shared" si="7"/>
        <v>61</v>
      </c>
      <c r="AH42" s="852">
        <f t="shared" si="4"/>
        <v>119</v>
      </c>
      <c r="AI42" s="852">
        <f t="shared" si="8"/>
        <v>250</v>
      </c>
      <c r="AJ42" s="852">
        <f t="shared" si="9"/>
        <v>0</v>
      </c>
      <c r="AK42" s="852">
        <f t="shared" si="10"/>
        <v>0</v>
      </c>
      <c r="AL42" s="852">
        <f t="shared" si="11"/>
        <v>0</v>
      </c>
      <c r="AM42" s="853">
        <f t="shared" si="12"/>
        <v>430</v>
      </c>
      <c r="AN42" s="852">
        <f t="shared" si="13"/>
        <v>430</v>
      </c>
    </row>
    <row r="43" spans="1:40" s="824" customFormat="1" ht="13.5" thickBot="1" x14ac:dyDescent="0.25">
      <c r="A43" s="837">
        <v>8313544</v>
      </c>
      <c r="B43" s="854">
        <v>3544</v>
      </c>
      <c r="C43" s="855" t="s">
        <v>266</v>
      </c>
      <c r="D43" s="856" t="s">
        <v>224</v>
      </c>
      <c r="E43" s="857" t="s">
        <v>36</v>
      </c>
      <c r="F43" s="858">
        <v>60</v>
      </c>
      <c r="G43" s="859"/>
      <c r="H43" s="860">
        <v>60</v>
      </c>
      <c r="I43" s="860">
        <v>60</v>
      </c>
      <c r="J43" s="860"/>
      <c r="K43" s="860">
        <v>89</v>
      </c>
      <c r="L43" s="860">
        <v>90</v>
      </c>
      <c r="M43" s="860">
        <v>89</v>
      </c>
      <c r="N43" s="860">
        <v>89</v>
      </c>
      <c r="O43" s="860"/>
      <c r="P43" s="860">
        <v>0</v>
      </c>
      <c r="Q43" s="860">
        <v>0</v>
      </c>
      <c r="R43" s="860">
        <v>0</v>
      </c>
      <c r="S43" s="860"/>
      <c r="T43" s="860">
        <v>0</v>
      </c>
      <c r="U43" s="860">
        <v>0</v>
      </c>
      <c r="V43" s="860"/>
      <c r="W43" s="860">
        <v>0</v>
      </c>
      <c r="X43" s="860">
        <v>0</v>
      </c>
      <c r="Y43" s="861">
        <v>0</v>
      </c>
      <c r="Z43" s="871">
        <f t="shared" si="14"/>
        <v>537</v>
      </c>
      <c r="AA43" s="848">
        <f t="shared" si="5"/>
        <v>0</v>
      </c>
      <c r="AB43" s="848">
        <f t="shared" si="6"/>
        <v>0</v>
      </c>
      <c r="AC43" s="849">
        <f t="shared" si="1"/>
        <v>537</v>
      </c>
      <c r="AD43" s="872">
        <f t="shared" si="2"/>
        <v>0</v>
      </c>
      <c r="AE43" s="873">
        <f t="shared" si="3"/>
        <v>537</v>
      </c>
      <c r="AG43" s="852">
        <f t="shared" si="7"/>
        <v>60</v>
      </c>
      <c r="AH43" s="852">
        <f t="shared" si="4"/>
        <v>120</v>
      </c>
      <c r="AI43" s="852">
        <f t="shared" si="8"/>
        <v>357</v>
      </c>
      <c r="AJ43" s="852">
        <f t="shared" si="9"/>
        <v>0</v>
      </c>
      <c r="AK43" s="852">
        <f t="shared" si="10"/>
        <v>0</v>
      </c>
      <c r="AL43" s="852">
        <f t="shared" si="11"/>
        <v>0</v>
      </c>
      <c r="AM43" s="853">
        <f t="shared" si="12"/>
        <v>537</v>
      </c>
      <c r="AN43" s="852">
        <f t="shared" si="13"/>
        <v>537</v>
      </c>
    </row>
    <row r="44" spans="1:40" s="824" customFormat="1" ht="13.5" thickBot="1" x14ac:dyDescent="0.25">
      <c r="A44" s="837">
        <v>8311008</v>
      </c>
      <c r="B44" s="854">
        <v>1008</v>
      </c>
      <c r="C44" s="855" t="s">
        <v>959</v>
      </c>
      <c r="D44" s="856" t="s">
        <v>225</v>
      </c>
      <c r="E44" s="857" t="s">
        <v>5</v>
      </c>
      <c r="F44" s="858">
        <v>0</v>
      </c>
      <c r="G44" s="859"/>
      <c r="H44" s="860">
        <v>0</v>
      </c>
      <c r="I44" s="860">
        <v>0</v>
      </c>
      <c r="J44" s="860"/>
      <c r="K44" s="860">
        <v>0</v>
      </c>
      <c r="L44" s="860">
        <v>0</v>
      </c>
      <c r="M44" s="860">
        <v>0</v>
      </c>
      <c r="N44" s="860">
        <v>0</v>
      </c>
      <c r="O44" s="860"/>
      <c r="P44" s="860">
        <v>0</v>
      </c>
      <c r="Q44" s="860">
        <v>0</v>
      </c>
      <c r="R44" s="860">
        <v>0</v>
      </c>
      <c r="S44" s="860"/>
      <c r="T44" s="860">
        <v>0</v>
      </c>
      <c r="U44" s="860">
        <v>0</v>
      </c>
      <c r="V44" s="860"/>
      <c r="W44" s="860">
        <v>0</v>
      </c>
      <c r="X44" s="860">
        <v>0</v>
      </c>
      <c r="Y44" s="861">
        <v>0</v>
      </c>
      <c r="Z44" s="862">
        <f t="shared" si="14"/>
        <v>0</v>
      </c>
      <c r="AA44" s="848">
        <f t="shared" si="5"/>
        <v>0</v>
      </c>
      <c r="AB44" s="848">
        <f t="shared" si="6"/>
        <v>0</v>
      </c>
      <c r="AC44" s="849">
        <f t="shared" si="1"/>
        <v>0</v>
      </c>
      <c r="AD44" s="863">
        <f t="shared" si="2"/>
        <v>0</v>
      </c>
      <c r="AE44" s="864">
        <f t="shared" si="3"/>
        <v>0</v>
      </c>
      <c r="AG44" s="852">
        <f t="shared" si="7"/>
        <v>0</v>
      </c>
      <c r="AH44" s="852">
        <f t="shared" si="4"/>
        <v>0</v>
      </c>
      <c r="AI44" s="852">
        <f t="shared" si="8"/>
        <v>0</v>
      </c>
      <c r="AJ44" s="852">
        <f t="shared" si="9"/>
        <v>0</v>
      </c>
      <c r="AK44" s="852">
        <f t="shared" si="10"/>
        <v>0</v>
      </c>
      <c r="AL44" s="852">
        <f t="shared" si="11"/>
        <v>0</v>
      </c>
      <c r="AM44" s="853">
        <f t="shared" si="12"/>
        <v>0</v>
      </c>
      <c r="AN44" s="852">
        <f t="shared" si="13"/>
        <v>0</v>
      </c>
    </row>
    <row r="45" spans="1:40" s="824" customFormat="1" ht="13.5" thickBot="1" x14ac:dyDescent="0.25">
      <c r="A45" s="837">
        <v>8312006</v>
      </c>
      <c r="B45" s="854">
        <v>2006</v>
      </c>
      <c r="C45" s="855" t="s">
        <v>266</v>
      </c>
      <c r="D45" s="856" t="s">
        <v>226</v>
      </c>
      <c r="E45" s="857" t="s">
        <v>754</v>
      </c>
      <c r="F45" s="858">
        <v>44</v>
      </c>
      <c r="G45" s="859"/>
      <c r="H45" s="860">
        <v>45</v>
      </c>
      <c r="I45" s="860">
        <v>46</v>
      </c>
      <c r="J45" s="860"/>
      <c r="K45" s="860">
        <v>33</v>
      </c>
      <c r="L45" s="860">
        <v>29</v>
      </c>
      <c r="M45" s="860">
        <v>33</v>
      </c>
      <c r="N45" s="860">
        <v>33</v>
      </c>
      <c r="O45" s="860"/>
      <c r="P45" s="860">
        <v>0</v>
      </c>
      <c r="Q45" s="860">
        <v>0</v>
      </c>
      <c r="R45" s="860">
        <v>0</v>
      </c>
      <c r="S45" s="860"/>
      <c r="T45" s="860">
        <v>0</v>
      </c>
      <c r="U45" s="860">
        <v>0</v>
      </c>
      <c r="V45" s="860"/>
      <c r="W45" s="860">
        <v>0</v>
      </c>
      <c r="X45" s="860">
        <v>0</v>
      </c>
      <c r="Y45" s="861">
        <v>0</v>
      </c>
      <c r="Z45" s="862">
        <f t="shared" si="14"/>
        <v>263</v>
      </c>
      <c r="AA45" s="848">
        <f t="shared" si="5"/>
        <v>0</v>
      </c>
      <c r="AB45" s="848">
        <f t="shared" si="6"/>
        <v>0</v>
      </c>
      <c r="AC45" s="849">
        <f t="shared" si="1"/>
        <v>263</v>
      </c>
      <c r="AD45" s="863">
        <f t="shared" si="2"/>
        <v>0</v>
      </c>
      <c r="AE45" s="864">
        <f t="shared" si="3"/>
        <v>263</v>
      </c>
      <c r="AG45" s="852">
        <f t="shared" si="7"/>
        <v>44</v>
      </c>
      <c r="AH45" s="852">
        <f t="shared" si="4"/>
        <v>91</v>
      </c>
      <c r="AI45" s="852">
        <f t="shared" si="8"/>
        <v>128</v>
      </c>
      <c r="AJ45" s="852">
        <f t="shared" si="9"/>
        <v>0</v>
      </c>
      <c r="AK45" s="852">
        <f t="shared" si="10"/>
        <v>0</v>
      </c>
      <c r="AL45" s="852">
        <f t="shared" si="11"/>
        <v>0</v>
      </c>
      <c r="AM45" s="853">
        <f t="shared" si="12"/>
        <v>263</v>
      </c>
      <c r="AN45" s="852">
        <f t="shared" si="13"/>
        <v>263</v>
      </c>
    </row>
    <row r="46" spans="1:40" s="824" customFormat="1" ht="13.5" thickBot="1" x14ac:dyDescent="0.25">
      <c r="A46" s="837">
        <v>8317026</v>
      </c>
      <c r="B46" s="854">
        <v>7026</v>
      </c>
      <c r="C46" s="874" t="s">
        <v>661</v>
      </c>
      <c r="D46" s="856" t="s">
        <v>521</v>
      </c>
      <c r="E46" s="857" t="s">
        <v>520</v>
      </c>
      <c r="F46" s="858">
        <v>7</v>
      </c>
      <c r="G46" s="859"/>
      <c r="H46" s="860">
        <v>8</v>
      </c>
      <c r="I46" s="860">
        <v>7</v>
      </c>
      <c r="J46" s="860"/>
      <c r="K46" s="860">
        <v>5</v>
      </c>
      <c r="L46" s="860">
        <v>5</v>
      </c>
      <c r="M46" s="860">
        <v>5</v>
      </c>
      <c r="N46" s="860">
        <v>5</v>
      </c>
      <c r="O46" s="860"/>
      <c r="P46" s="860">
        <v>6</v>
      </c>
      <c r="Q46" s="860">
        <v>4</v>
      </c>
      <c r="R46" s="860">
        <v>4</v>
      </c>
      <c r="S46" s="860"/>
      <c r="T46" s="860">
        <v>5</v>
      </c>
      <c r="U46" s="860">
        <v>6</v>
      </c>
      <c r="V46" s="860"/>
      <c r="W46" s="860">
        <v>5</v>
      </c>
      <c r="X46" s="860">
        <v>6</v>
      </c>
      <c r="Y46" s="861">
        <v>6</v>
      </c>
      <c r="Z46" s="862">
        <f t="shared" si="14"/>
        <v>42</v>
      </c>
      <c r="AA46" s="848">
        <f t="shared" si="5"/>
        <v>14</v>
      </c>
      <c r="AB46" s="848">
        <f t="shared" si="6"/>
        <v>11</v>
      </c>
      <c r="AC46" s="849">
        <f t="shared" si="1"/>
        <v>67</v>
      </c>
      <c r="AD46" s="863">
        <f t="shared" si="2"/>
        <v>17</v>
      </c>
      <c r="AE46" s="864">
        <f t="shared" si="3"/>
        <v>84</v>
      </c>
      <c r="AG46" s="852">
        <f t="shared" si="7"/>
        <v>7</v>
      </c>
      <c r="AH46" s="852">
        <f t="shared" si="4"/>
        <v>15</v>
      </c>
      <c r="AI46" s="852">
        <f t="shared" si="8"/>
        <v>20</v>
      </c>
      <c r="AJ46" s="852">
        <f t="shared" si="9"/>
        <v>14</v>
      </c>
      <c r="AK46" s="852">
        <f t="shared" si="10"/>
        <v>11</v>
      </c>
      <c r="AL46" s="852">
        <f t="shared" si="11"/>
        <v>17</v>
      </c>
      <c r="AM46" s="853">
        <f t="shared" si="12"/>
        <v>67</v>
      </c>
      <c r="AN46" s="852">
        <f t="shared" si="13"/>
        <v>84</v>
      </c>
    </row>
    <row r="47" spans="1:40" s="824" customFormat="1" ht="13.5" thickBot="1" x14ac:dyDescent="0.25">
      <c r="A47" s="837">
        <v>8317029</v>
      </c>
      <c r="B47" s="854">
        <v>7029</v>
      </c>
      <c r="C47" s="874" t="s">
        <v>661</v>
      </c>
      <c r="D47" s="856">
        <v>3014104</v>
      </c>
      <c r="E47" s="857" t="s">
        <v>965</v>
      </c>
      <c r="F47" s="858">
        <v>0</v>
      </c>
      <c r="G47" s="859"/>
      <c r="H47" s="860">
        <v>0</v>
      </c>
      <c r="I47" s="860">
        <v>0</v>
      </c>
      <c r="J47" s="860"/>
      <c r="K47" s="860">
        <v>0</v>
      </c>
      <c r="L47" s="860">
        <v>0</v>
      </c>
      <c r="M47" s="860">
        <v>0</v>
      </c>
      <c r="N47" s="860">
        <v>0</v>
      </c>
      <c r="O47" s="860"/>
      <c r="P47" s="860">
        <v>1</v>
      </c>
      <c r="Q47" s="860">
        <v>6</v>
      </c>
      <c r="R47" s="860">
        <v>9</v>
      </c>
      <c r="S47" s="860"/>
      <c r="T47" s="860">
        <v>16</v>
      </c>
      <c r="U47" s="860">
        <v>14</v>
      </c>
      <c r="V47" s="860"/>
      <c r="W47" s="860">
        <v>0</v>
      </c>
      <c r="X47" s="860">
        <v>0</v>
      </c>
      <c r="Y47" s="861">
        <v>0</v>
      </c>
      <c r="Z47" s="862">
        <f t="shared" si="14"/>
        <v>0</v>
      </c>
      <c r="AA47" s="848">
        <f t="shared" si="5"/>
        <v>16</v>
      </c>
      <c r="AB47" s="848">
        <f t="shared" si="6"/>
        <v>30</v>
      </c>
      <c r="AC47" s="849">
        <f t="shared" si="1"/>
        <v>46</v>
      </c>
      <c r="AD47" s="863">
        <f t="shared" si="2"/>
        <v>0</v>
      </c>
      <c r="AE47" s="864">
        <f t="shared" si="3"/>
        <v>46</v>
      </c>
      <c r="AG47" s="852">
        <f t="shared" si="7"/>
        <v>0</v>
      </c>
      <c r="AH47" s="852">
        <f t="shared" si="4"/>
        <v>0</v>
      </c>
      <c r="AI47" s="852">
        <f t="shared" si="8"/>
        <v>0</v>
      </c>
      <c r="AJ47" s="852">
        <f t="shared" si="9"/>
        <v>16</v>
      </c>
      <c r="AK47" s="852">
        <f t="shared" si="10"/>
        <v>30</v>
      </c>
      <c r="AL47" s="852">
        <f t="shared" si="11"/>
        <v>0</v>
      </c>
      <c r="AM47" s="853">
        <f t="shared" si="12"/>
        <v>46</v>
      </c>
      <c r="AN47" s="852">
        <f t="shared" si="13"/>
        <v>46</v>
      </c>
    </row>
    <row r="48" spans="1:40" s="824" customFormat="1" ht="13.5" thickBot="1" x14ac:dyDescent="0.25">
      <c r="A48" s="837">
        <v>8312434</v>
      </c>
      <c r="B48" s="854">
        <v>2434</v>
      </c>
      <c r="C48" s="855" t="s">
        <v>266</v>
      </c>
      <c r="D48" s="856" t="s">
        <v>227</v>
      </c>
      <c r="E48" s="857" t="s">
        <v>37</v>
      </c>
      <c r="F48" s="858">
        <v>90</v>
      </c>
      <c r="G48" s="859"/>
      <c r="H48" s="860">
        <v>89</v>
      </c>
      <c r="I48" s="860">
        <v>60</v>
      </c>
      <c r="J48" s="860"/>
      <c r="K48" s="860">
        <v>75</v>
      </c>
      <c r="L48" s="860">
        <v>59</v>
      </c>
      <c r="M48" s="860">
        <v>47</v>
      </c>
      <c r="N48" s="860">
        <v>53</v>
      </c>
      <c r="O48" s="860"/>
      <c r="P48" s="860">
        <v>0</v>
      </c>
      <c r="Q48" s="860">
        <v>0</v>
      </c>
      <c r="R48" s="860">
        <v>0</v>
      </c>
      <c r="S48" s="860"/>
      <c r="T48" s="860">
        <v>0</v>
      </c>
      <c r="U48" s="860">
        <v>0</v>
      </c>
      <c r="V48" s="860"/>
      <c r="W48" s="860">
        <v>0</v>
      </c>
      <c r="X48" s="860">
        <v>0</v>
      </c>
      <c r="Y48" s="861">
        <v>0</v>
      </c>
      <c r="Z48" s="862">
        <f t="shared" si="14"/>
        <v>473</v>
      </c>
      <c r="AA48" s="848">
        <f t="shared" si="5"/>
        <v>0</v>
      </c>
      <c r="AB48" s="848">
        <f t="shared" si="6"/>
        <v>0</v>
      </c>
      <c r="AC48" s="849">
        <f t="shared" si="1"/>
        <v>473</v>
      </c>
      <c r="AD48" s="863">
        <f t="shared" si="2"/>
        <v>0</v>
      </c>
      <c r="AE48" s="864">
        <f t="shared" si="3"/>
        <v>473</v>
      </c>
      <c r="AG48" s="852">
        <f t="shared" si="7"/>
        <v>90</v>
      </c>
      <c r="AH48" s="852">
        <f t="shared" si="4"/>
        <v>149</v>
      </c>
      <c r="AI48" s="852">
        <f t="shared" si="8"/>
        <v>234</v>
      </c>
      <c r="AJ48" s="852">
        <f t="shared" si="9"/>
        <v>0</v>
      </c>
      <c r="AK48" s="852">
        <f t="shared" si="10"/>
        <v>0</v>
      </c>
      <c r="AL48" s="852">
        <f t="shared" si="11"/>
        <v>0</v>
      </c>
      <c r="AM48" s="853">
        <f t="shared" si="12"/>
        <v>473</v>
      </c>
      <c r="AN48" s="852">
        <f t="shared" si="13"/>
        <v>473</v>
      </c>
    </row>
    <row r="49" spans="1:40" s="824" customFormat="1" ht="13.5" thickBot="1" x14ac:dyDescent="0.25">
      <c r="A49" s="837">
        <v>8316905</v>
      </c>
      <c r="B49" s="854">
        <v>6905</v>
      </c>
      <c r="C49" s="855" t="s">
        <v>203</v>
      </c>
      <c r="D49" s="856"/>
      <c r="E49" s="857" t="s">
        <v>453</v>
      </c>
      <c r="F49" s="858">
        <v>0</v>
      </c>
      <c r="G49" s="859"/>
      <c r="H49" s="860">
        <v>0</v>
      </c>
      <c r="I49" s="860">
        <v>0</v>
      </c>
      <c r="J49" s="860"/>
      <c r="K49" s="860">
        <v>0</v>
      </c>
      <c r="L49" s="860">
        <v>0</v>
      </c>
      <c r="M49" s="860">
        <v>0</v>
      </c>
      <c r="N49" s="860">
        <v>0</v>
      </c>
      <c r="O49" s="860"/>
      <c r="P49" s="860">
        <v>170</v>
      </c>
      <c r="Q49" s="860">
        <v>167</v>
      </c>
      <c r="R49" s="860">
        <v>170</v>
      </c>
      <c r="S49" s="860"/>
      <c r="T49" s="860">
        <v>170</v>
      </c>
      <c r="U49" s="860">
        <v>167</v>
      </c>
      <c r="V49" s="860"/>
      <c r="W49" s="860">
        <v>149</v>
      </c>
      <c r="X49" s="860">
        <v>132</v>
      </c>
      <c r="Y49" s="861">
        <v>0</v>
      </c>
      <c r="Z49" s="862">
        <f t="shared" si="14"/>
        <v>0</v>
      </c>
      <c r="AA49" s="848">
        <f t="shared" si="5"/>
        <v>507</v>
      </c>
      <c r="AB49" s="848">
        <f t="shared" si="6"/>
        <v>337</v>
      </c>
      <c r="AC49" s="849">
        <f t="shared" si="1"/>
        <v>844</v>
      </c>
      <c r="AD49" s="863">
        <f t="shared" si="2"/>
        <v>281</v>
      </c>
      <c r="AE49" s="864">
        <f t="shared" si="3"/>
        <v>1125</v>
      </c>
      <c r="AG49" s="852">
        <f t="shared" si="7"/>
        <v>0</v>
      </c>
      <c r="AH49" s="852">
        <f t="shared" si="4"/>
        <v>0</v>
      </c>
      <c r="AI49" s="852">
        <f t="shared" si="8"/>
        <v>0</v>
      </c>
      <c r="AJ49" s="852">
        <f t="shared" si="9"/>
        <v>507</v>
      </c>
      <c r="AK49" s="852">
        <f t="shared" si="10"/>
        <v>337</v>
      </c>
      <c r="AL49" s="852">
        <f t="shared" si="11"/>
        <v>281</v>
      </c>
      <c r="AM49" s="853">
        <f t="shared" si="12"/>
        <v>844</v>
      </c>
      <c r="AN49" s="852">
        <f t="shared" si="13"/>
        <v>1125</v>
      </c>
    </row>
    <row r="50" spans="1:40" s="824" customFormat="1" ht="13.5" thickBot="1" x14ac:dyDescent="0.25">
      <c r="A50" s="837">
        <v>8312009</v>
      </c>
      <c r="B50" s="854">
        <v>2009</v>
      </c>
      <c r="C50" s="855" t="s">
        <v>266</v>
      </c>
      <c r="D50" s="856"/>
      <c r="E50" s="857" t="s">
        <v>966</v>
      </c>
      <c r="F50" s="858">
        <v>41</v>
      </c>
      <c r="G50" s="859"/>
      <c r="H50" s="860">
        <v>39</v>
      </c>
      <c r="I50" s="860">
        <v>40</v>
      </c>
      <c r="J50" s="860"/>
      <c r="K50" s="860">
        <v>39</v>
      </c>
      <c r="L50" s="860">
        <v>42</v>
      </c>
      <c r="M50" s="860">
        <v>41</v>
      </c>
      <c r="N50" s="860">
        <v>42</v>
      </c>
      <c r="O50" s="860"/>
      <c r="P50" s="860">
        <v>0</v>
      </c>
      <c r="Q50" s="860">
        <v>0</v>
      </c>
      <c r="R50" s="860">
        <v>0</v>
      </c>
      <c r="S50" s="860"/>
      <c r="T50" s="860">
        <v>0</v>
      </c>
      <c r="U50" s="860">
        <v>0</v>
      </c>
      <c r="V50" s="860"/>
      <c r="W50" s="860">
        <v>0</v>
      </c>
      <c r="X50" s="860">
        <v>0</v>
      </c>
      <c r="Y50" s="861">
        <v>0</v>
      </c>
      <c r="Z50" s="871">
        <f t="shared" si="14"/>
        <v>284</v>
      </c>
      <c r="AA50" s="848">
        <f t="shared" si="5"/>
        <v>0</v>
      </c>
      <c r="AB50" s="848">
        <f t="shared" si="6"/>
        <v>0</v>
      </c>
      <c r="AC50" s="849">
        <f t="shared" si="1"/>
        <v>284</v>
      </c>
      <c r="AD50" s="872">
        <f t="shared" si="2"/>
        <v>0</v>
      </c>
      <c r="AE50" s="873">
        <f t="shared" si="3"/>
        <v>284</v>
      </c>
      <c r="AG50" s="852">
        <f t="shared" si="7"/>
        <v>41</v>
      </c>
      <c r="AH50" s="852">
        <f t="shared" si="4"/>
        <v>79</v>
      </c>
      <c r="AI50" s="852">
        <f t="shared" si="8"/>
        <v>164</v>
      </c>
      <c r="AJ50" s="852">
        <f t="shared" si="9"/>
        <v>0</v>
      </c>
      <c r="AK50" s="852">
        <f t="shared" si="10"/>
        <v>0</v>
      </c>
      <c r="AL50" s="852">
        <f t="shared" si="11"/>
        <v>0</v>
      </c>
      <c r="AM50" s="853">
        <f t="shared" si="12"/>
        <v>284</v>
      </c>
      <c r="AN50" s="852">
        <f t="shared" si="13"/>
        <v>284</v>
      </c>
    </row>
    <row r="51" spans="1:40" s="824" customFormat="1" ht="13.5" thickBot="1" x14ac:dyDescent="0.25">
      <c r="A51" s="837">
        <v>8312522</v>
      </c>
      <c r="B51" s="854">
        <v>2522</v>
      </c>
      <c r="C51" s="855" t="s">
        <v>266</v>
      </c>
      <c r="D51" s="856" t="s">
        <v>666</v>
      </c>
      <c r="E51" s="857" t="s">
        <v>38</v>
      </c>
      <c r="F51" s="858">
        <v>38</v>
      </c>
      <c r="G51" s="859"/>
      <c r="H51" s="860">
        <v>54</v>
      </c>
      <c r="I51" s="860">
        <v>60</v>
      </c>
      <c r="J51" s="860"/>
      <c r="K51" s="860">
        <v>60</v>
      </c>
      <c r="L51" s="860">
        <v>59</v>
      </c>
      <c r="M51" s="860">
        <v>57</v>
      </c>
      <c r="N51" s="860">
        <v>60</v>
      </c>
      <c r="O51" s="860"/>
      <c r="P51" s="860">
        <v>0</v>
      </c>
      <c r="Q51" s="860">
        <v>0</v>
      </c>
      <c r="R51" s="860">
        <v>0</v>
      </c>
      <c r="S51" s="860"/>
      <c r="T51" s="860">
        <v>0</v>
      </c>
      <c r="U51" s="860">
        <v>0</v>
      </c>
      <c r="V51" s="860"/>
      <c r="W51" s="860">
        <v>0</v>
      </c>
      <c r="X51" s="860">
        <v>0</v>
      </c>
      <c r="Y51" s="861">
        <v>0</v>
      </c>
      <c r="Z51" s="862">
        <f t="shared" si="14"/>
        <v>388</v>
      </c>
      <c r="AA51" s="848">
        <f t="shared" si="5"/>
        <v>0</v>
      </c>
      <c r="AB51" s="848">
        <f t="shared" si="6"/>
        <v>0</v>
      </c>
      <c r="AC51" s="849">
        <f t="shared" si="1"/>
        <v>388</v>
      </c>
      <c r="AD51" s="863">
        <f t="shared" si="2"/>
        <v>0</v>
      </c>
      <c r="AE51" s="864">
        <f t="shared" si="3"/>
        <v>388</v>
      </c>
      <c r="AG51" s="852">
        <f t="shared" si="7"/>
        <v>38</v>
      </c>
      <c r="AH51" s="852">
        <f t="shared" si="4"/>
        <v>114</v>
      </c>
      <c r="AI51" s="852">
        <f t="shared" si="8"/>
        <v>236</v>
      </c>
      <c r="AJ51" s="852">
        <f t="shared" si="9"/>
        <v>0</v>
      </c>
      <c r="AK51" s="852">
        <f t="shared" si="10"/>
        <v>0</v>
      </c>
      <c r="AL51" s="852">
        <f t="shared" si="11"/>
        <v>0</v>
      </c>
      <c r="AM51" s="853">
        <f t="shared" si="12"/>
        <v>388</v>
      </c>
      <c r="AN51" s="852">
        <f t="shared" si="13"/>
        <v>388</v>
      </c>
    </row>
    <row r="52" spans="1:40" s="824" customFormat="1" ht="13.5" thickBot="1" x14ac:dyDescent="0.25">
      <c r="A52" s="837">
        <v>8314181</v>
      </c>
      <c r="B52" s="854">
        <v>4181</v>
      </c>
      <c r="C52" s="855" t="s">
        <v>203</v>
      </c>
      <c r="D52" s="856"/>
      <c r="E52" s="857" t="s">
        <v>967</v>
      </c>
      <c r="F52" s="858">
        <v>0</v>
      </c>
      <c r="G52" s="859"/>
      <c r="H52" s="860">
        <v>0</v>
      </c>
      <c r="I52" s="860">
        <v>0</v>
      </c>
      <c r="J52" s="860"/>
      <c r="K52" s="860">
        <v>0</v>
      </c>
      <c r="L52" s="860">
        <v>0</v>
      </c>
      <c r="M52" s="860">
        <v>0</v>
      </c>
      <c r="N52" s="860">
        <v>0</v>
      </c>
      <c r="O52" s="860"/>
      <c r="P52" s="860">
        <v>219</v>
      </c>
      <c r="Q52" s="860">
        <v>203</v>
      </c>
      <c r="R52" s="860">
        <v>230</v>
      </c>
      <c r="S52" s="860"/>
      <c r="T52" s="860">
        <v>215</v>
      </c>
      <c r="U52" s="860">
        <v>212</v>
      </c>
      <c r="V52" s="860"/>
      <c r="W52" s="860">
        <v>47</v>
      </c>
      <c r="X52" s="860">
        <v>19</v>
      </c>
      <c r="Y52" s="861">
        <v>9</v>
      </c>
      <c r="Z52" s="862">
        <f t="shared" si="14"/>
        <v>0</v>
      </c>
      <c r="AA52" s="848">
        <f t="shared" si="5"/>
        <v>652</v>
      </c>
      <c r="AB52" s="848">
        <f t="shared" si="6"/>
        <v>427</v>
      </c>
      <c r="AC52" s="849">
        <f t="shared" si="1"/>
        <v>1079</v>
      </c>
      <c r="AD52" s="863">
        <f t="shared" si="2"/>
        <v>75</v>
      </c>
      <c r="AE52" s="864">
        <f t="shared" si="3"/>
        <v>1154</v>
      </c>
      <c r="AG52" s="852">
        <f t="shared" si="7"/>
        <v>0</v>
      </c>
      <c r="AH52" s="852">
        <f t="shared" si="4"/>
        <v>0</v>
      </c>
      <c r="AI52" s="852">
        <f t="shared" si="8"/>
        <v>0</v>
      </c>
      <c r="AJ52" s="852">
        <f t="shared" si="9"/>
        <v>652</v>
      </c>
      <c r="AK52" s="852">
        <f t="shared" si="10"/>
        <v>427</v>
      </c>
      <c r="AL52" s="852">
        <f t="shared" si="11"/>
        <v>75</v>
      </c>
      <c r="AM52" s="853">
        <f t="shared" si="12"/>
        <v>1079</v>
      </c>
      <c r="AN52" s="852">
        <f t="shared" si="13"/>
        <v>1154</v>
      </c>
    </row>
    <row r="53" spans="1:40" s="824" customFormat="1" ht="13.5" thickBot="1" x14ac:dyDescent="0.25">
      <c r="A53" s="837">
        <v>8314182</v>
      </c>
      <c r="B53" s="854">
        <v>4182</v>
      </c>
      <c r="C53" s="855" t="s">
        <v>203</v>
      </c>
      <c r="D53" s="856" t="s">
        <v>688</v>
      </c>
      <c r="E53" s="857" t="s">
        <v>70</v>
      </c>
      <c r="F53" s="858">
        <v>0</v>
      </c>
      <c r="G53" s="859"/>
      <c r="H53" s="860">
        <v>0</v>
      </c>
      <c r="I53" s="860">
        <v>0</v>
      </c>
      <c r="J53" s="860"/>
      <c r="K53" s="860">
        <v>0</v>
      </c>
      <c r="L53" s="860">
        <v>0</v>
      </c>
      <c r="M53" s="860">
        <v>0</v>
      </c>
      <c r="N53" s="860">
        <v>0</v>
      </c>
      <c r="O53" s="860"/>
      <c r="P53" s="860">
        <v>295</v>
      </c>
      <c r="Q53" s="860">
        <v>295</v>
      </c>
      <c r="R53" s="860">
        <v>286</v>
      </c>
      <c r="S53" s="860">
        <v>-1</v>
      </c>
      <c r="T53" s="860">
        <v>265</v>
      </c>
      <c r="U53" s="860">
        <v>259</v>
      </c>
      <c r="V53" s="860">
        <v>-1</v>
      </c>
      <c r="W53" s="860">
        <v>158</v>
      </c>
      <c r="X53" s="860">
        <v>135</v>
      </c>
      <c r="Y53" s="861">
        <v>0</v>
      </c>
      <c r="Z53" s="862">
        <f t="shared" si="14"/>
        <v>0</v>
      </c>
      <c r="AA53" s="848">
        <f t="shared" si="5"/>
        <v>875</v>
      </c>
      <c r="AB53" s="848">
        <f t="shared" si="6"/>
        <v>523</v>
      </c>
      <c r="AC53" s="849">
        <f t="shared" si="1"/>
        <v>1398</v>
      </c>
      <c r="AD53" s="863">
        <f t="shared" si="2"/>
        <v>293</v>
      </c>
      <c r="AE53" s="864">
        <f t="shared" si="3"/>
        <v>1691</v>
      </c>
      <c r="AG53" s="852">
        <f t="shared" si="7"/>
        <v>0</v>
      </c>
      <c r="AH53" s="852">
        <f t="shared" si="4"/>
        <v>0</v>
      </c>
      <c r="AI53" s="852">
        <f t="shared" si="8"/>
        <v>0</v>
      </c>
      <c r="AJ53" s="852">
        <f t="shared" si="9"/>
        <v>875</v>
      </c>
      <c r="AK53" s="852">
        <f t="shared" si="10"/>
        <v>523</v>
      </c>
      <c r="AL53" s="852">
        <f t="shared" si="11"/>
        <v>293</v>
      </c>
      <c r="AM53" s="853">
        <f t="shared" si="12"/>
        <v>1398</v>
      </c>
      <c r="AN53" s="852">
        <f t="shared" si="13"/>
        <v>1691</v>
      </c>
    </row>
    <row r="54" spans="1:40" s="824" customFormat="1" ht="13.5" thickBot="1" x14ac:dyDescent="0.25">
      <c r="A54" s="837">
        <v>8311005</v>
      </c>
      <c r="B54" s="854">
        <v>1005</v>
      </c>
      <c r="C54" s="855" t="s">
        <v>959</v>
      </c>
      <c r="D54" s="856" t="s">
        <v>228</v>
      </c>
      <c r="E54" s="857" t="s">
        <v>968</v>
      </c>
      <c r="F54" s="858">
        <v>0</v>
      </c>
      <c r="G54" s="859"/>
      <c r="H54" s="860">
        <v>0</v>
      </c>
      <c r="I54" s="860">
        <v>0</v>
      </c>
      <c r="J54" s="860"/>
      <c r="K54" s="860">
        <v>0</v>
      </c>
      <c r="L54" s="860">
        <v>0</v>
      </c>
      <c r="M54" s="860">
        <v>0</v>
      </c>
      <c r="N54" s="860">
        <v>0</v>
      </c>
      <c r="O54" s="860"/>
      <c r="P54" s="860">
        <v>0</v>
      </c>
      <c r="Q54" s="860">
        <v>0</v>
      </c>
      <c r="R54" s="860">
        <v>0</v>
      </c>
      <c r="S54" s="860"/>
      <c r="T54" s="860">
        <v>0</v>
      </c>
      <c r="U54" s="860">
        <v>0</v>
      </c>
      <c r="V54" s="860"/>
      <c r="W54" s="860">
        <v>0</v>
      </c>
      <c r="X54" s="860">
        <v>0</v>
      </c>
      <c r="Y54" s="861">
        <v>0</v>
      </c>
      <c r="Z54" s="862">
        <f t="shared" si="14"/>
        <v>0</v>
      </c>
      <c r="AA54" s="848">
        <f t="shared" si="5"/>
        <v>0</v>
      </c>
      <c r="AB54" s="848">
        <f t="shared" si="6"/>
        <v>0</v>
      </c>
      <c r="AC54" s="849">
        <f t="shared" si="1"/>
        <v>0</v>
      </c>
      <c r="AD54" s="863">
        <f t="shared" si="2"/>
        <v>0</v>
      </c>
      <c r="AE54" s="864">
        <f t="shared" si="3"/>
        <v>0</v>
      </c>
      <c r="AG54" s="852">
        <f t="shared" si="7"/>
        <v>0</v>
      </c>
      <c r="AH54" s="852">
        <f t="shared" si="4"/>
        <v>0</v>
      </c>
      <c r="AI54" s="852">
        <f t="shared" si="8"/>
        <v>0</v>
      </c>
      <c r="AJ54" s="852">
        <f t="shared" si="9"/>
        <v>0</v>
      </c>
      <c r="AK54" s="852">
        <f t="shared" si="10"/>
        <v>0</v>
      </c>
      <c r="AL54" s="852">
        <f t="shared" si="11"/>
        <v>0</v>
      </c>
      <c r="AM54" s="853">
        <f t="shared" si="12"/>
        <v>0</v>
      </c>
      <c r="AN54" s="852">
        <f t="shared" si="13"/>
        <v>0</v>
      </c>
    </row>
    <row r="55" spans="1:40" s="824" customFormat="1" ht="13.5" thickBot="1" x14ac:dyDescent="0.25">
      <c r="A55" s="837">
        <v>8312436</v>
      </c>
      <c r="B55" s="854">
        <v>2436</v>
      </c>
      <c r="C55" s="855" t="s">
        <v>266</v>
      </c>
      <c r="D55" s="856" t="s">
        <v>667</v>
      </c>
      <c r="E55" s="857" t="s">
        <v>39</v>
      </c>
      <c r="F55" s="858">
        <v>60</v>
      </c>
      <c r="G55" s="859"/>
      <c r="H55" s="860">
        <v>60</v>
      </c>
      <c r="I55" s="860">
        <v>44</v>
      </c>
      <c r="J55" s="860"/>
      <c r="K55" s="860">
        <v>45</v>
      </c>
      <c r="L55" s="860">
        <v>42</v>
      </c>
      <c r="M55" s="860">
        <v>44</v>
      </c>
      <c r="N55" s="860">
        <v>47</v>
      </c>
      <c r="O55" s="860"/>
      <c r="P55" s="860">
        <v>0</v>
      </c>
      <c r="Q55" s="860">
        <v>0</v>
      </c>
      <c r="R55" s="860">
        <v>0</v>
      </c>
      <c r="S55" s="860"/>
      <c r="T55" s="860">
        <v>0</v>
      </c>
      <c r="U55" s="860">
        <v>0</v>
      </c>
      <c r="V55" s="860"/>
      <c r="W55" s="860">
        <v>0</v>
      </c>
      <c r="X55" s="860">
        <v>0</v>
      </c>
      <c r="Y55" s="861">
        <v>0</v>
      </c>
      <c r="Z55" s="862">
        <f t="shared" si="14"/>
        <v>342</v>
      </c>
      <c r="AA55" s="848">
        <f t="shared" si="5"/>
        <v>0</v>
      </c>
      <c r="AB55" s="848">
        <f t="shared" si="6"/>
        <v>0</v>
      </c>
      <c r="AC55" s="849">
        <f t="shared" si="1"/>
        <v>342</v>
      </c>
      <c r="AD55" s="863">
        <f t="shared" si="2"/>
        <v>0</v>
      </c>
      <c r="AE55" s="864">
        <f t="shared" si="3"/>
        <v>342</v>
      </c>
      <c r="AG55" s="852">
        <f t="shared" si="7"/>
        <v>60</v>
      </c>
      <c r="AH55" s="852">
        <f t="shared" si="4"/>
        <v>104</v>
      </c>
      <c r="AI55" s="852">
        <f t="shared" si="8"/>
        <v>178</v>
      </c>
      <c r="AJ55" s="852">
        <f t="shared" si="9"/>
        <v>0</v>
      </c>
      <c r="AK55" s="852">
        <f t="shared" si="10"/>
        <v>0</v>
      </c>
      <c r="AL55" s="852">
        <f t="shared" si="11"/>
        <v>0</v>
      </c>
      <c r="AM55" s="853">
        <f t="shared" si="12"/>
        <v>342</v>
      </c>
      <c r="AN55" s="852">
        <f t="shared" si="13"/>
        <v>342</v>
      </c>
    </row>
    <row r="56" spans="1:40" s="824" customFormat="1" ht="13.5" thickBot="1" x14ac:dyDescent="0.25">
      <c r="A56" s="837">
        <v>8312452</v>
      </c>
      <c r="B56" s="854">
        <v>2452</v>
      </c>
      <c r="C56" s="855" t="s">
        <v>266</v>
      </c>
      <c r="D56" s="856" t="s">
        <v>229</v>
      </c>
      <c r="E56" s="857" t="s">
        <v>40</v>
      </c>
      <c r="F56" s="858">
        <v>25</v>
      </c>
      <c r="G56" s="859"/>
      <c r="H56" s="860">
        <v>29</v>
      </c>
      <c r="I56" s="860">
        <v>28</v>
      </c>
      <c r="J56" s="860"/>
      <c r="K56" s="860">
        <v>32</v>
      </c>
      <c r="L56" s="860">
        <v>28</v>
      </c>
      <c r="M56" s="860">
        <v>25</v>
      </c>
      <c r="N56" s="860">
        <v>35</v>
      </c>
      <c r="O56" s="860"/>
      <c r="P56" s="860">
        <v>0</v>
      </c>
      <c r="Q56" s="860">
        <v>0</v>
      </c>
      <c r="R56" s="860">
        <v>0</v>
      </c>
      <c r="S56" s="860"/>
      <c r="T56" s="860">
        <v>0</v>
      </c>
      <c r="U56" s="860">
        <v>0</v>
      </c>
      <c r="V56" s="860"/>
      <c r="W56" s="860">
        <v>0</v>
      </c>
      <c r="X56" s="860">
        <v>0</v>
      </c>
      <c r="Y56" s="861">
        <v>0</v>
      </c>
      <c r="Z56" s="862">
        <f t="shared" si="14"/>
        <v>202</v>
      </c>
      <c r="AA56" s="848">
        <f t="shared" si="5"/>
        <v>0</v>
      </c>
      <c r="AB56" s="848">
        <f t="shared" si="6"/>
        <v>0</v>
      </c>
      <c r="AC56" s="849">
        <f t="shared" si="1"/>
        <v>202</v>
      </c>
      <c r="AD56" s="863">
        <f t="shared" si="2"/>
        <v>0</v>
      </c>
      <c r="AE56" s="864">
        <f t="shared" si="3"/>
        <v>202</v>
      </c>
      <c r="AG56" s="852">
        <f t="shared" si="7"/>
        <v>25</v>
      </c>
      <c r="AH56" s="852">
        <f t="shared" si="4"/>
        <v>57</v>
      </c>
      <c r="AI56" s="852">
        <f t="shared" si="8"/>
        <v>120</v>
      </c>
      <c r="AJ56" s="852">
        <f t="shared" si="9"/>
        <v>0</v>
      </c>
      <c r="AK56" s="852">
        <f t="shared" si="10"/>
        <v>0</v>
      </c>
      <c r="AL56" s="852">
        <f t="shared" si="11"/>
        <v>0</v>
      </c>
      <c r="AM56" s="853">
        <f t="shared" si="12"/>
        <v>202</v>
      </c>
      <c r="AN56" s="852">
        <f t="shared" si="13"/>
        <v>202</v>
      </c>
    </row>
    <row r="57" spans="1:40" s="824" customFormat="1" ht="13.5" thickBot="1" x14ac:dyDescent="0.25">
      <c r="A57" s="837">
        <v>8314001</v>
      </c>
      <c r="B57" s="854">
        <v>4001</v>
      </c>
      <c r="C57" s="855" t="s">
        <v>203</v>
      </c>
      <c r="D57" s="856"/>
      <c r="E57" s="857" t="s">
        <v>969</v>
      </c>
      <c r="F57" s="858">
        <v>0</v>
      </c>
      <c r="G57" s="865"/>
      <c r="H57" s="860">
        <v>0</v>
      </c>
      <c r="I57" s="860">
        <v>0</v>
      </c>
      <c r="J57" s="866"/>
      <c r="K57" s="860">
        <v>0</v>
      </c>
      <c r="L57" s="860">
        <v>0</v>
      </c>
      <c r="M57" s="860">
        <v>0</v>
      </c>
      <c r="N57" s="860">
        <v>0</v>
      </c>
      <c r="O57" s="866"/>
      <c r="P57" s="866">
        <v>123</v>
      </c>
      <c r="Q57" s="866">
        <v>155</v>
      </c>
      <c r="R57" s="866">
        <v>128</v>
      </c>
      <c r="S57" s="870"/>
      <c r="T57" s="866">
        <v>148</v>
      </c>
      <c r="U57" s="866">
        <v>177</v>
      </c>
      <c r="V57" s="866"/>
      <c r="W57" s="866">
        <v>58</v>
      </c>
      <c r="X57" s="866">
        <v>48</v>
      </c>
      <c r="Y57" s="867">
        <v>6</v>
      </c>
      <c r="Z57" s="862">
        <f t="shared" si="14"/>
        <v>0</v>
      </c>
      <c r="AA57" s="848">
        <f t="shared" si="5"/>
        <v>406</v>
      </c>
      <c r="AB57" s="848">
        <f t="shared" si="6"/>
        <v>325</v>
      </c>
      <c r="AC57" s="849">
        <f t="shared" si="1"/>
        <v>731</v>
      </c>
      <c r="AD57" s="868">
        <f t="shared" si="2"/>
        <v>112</v>
      </c>
      <c r="AE57" s="864">
        <f t="shared" si="3"/>
        <v>843</v>
      </c>
      <c r="AG57" s="852">
        <f t="shared" si="7"/>
        <v>0</v>
      </c>
      <c r="AH57" s="852">
        <f t="shared" si="4"/>
        <v>0</v>
      </c>
      <c r="AI57" s="852">
        <f t="shared" si="8"/>
        <v>0</v>
      </c>
      <c r="AJ57" s="852">
        <f t="shared" si="9"/>
        <v>406</v>
      </c>
      <c r="AK57" s="852">
        <f t="shared" si="10"/>
        <v>325</v>
      </c>
      <c r="AL57" s="852">
        <f t="shared" si="11"/>
        <v>112</v>
      </c>
      <c r="AM57" s="853">
        <f t="shared" si="12"/>
        <v>731</v>
      </c>
      <c r="AN57" s="852">
        <f t="shared" si="13"/>
        <v>843</v>
      </c>
    </row>
    <row r="58" spans="1:40" s="824" customFormat="1" ht="13.5" thickBot="1" x14ac:dyDescent="0.25">
      <c r="A58" s="837">
        <v>8312627</v>
      </c>
      <c r="B58" s="854">
        <v>2627</v>
      </c>
      <c r="C58" s="855" t="s">
        <v>266</v>
      </c>
      <c r="D58" s="856" t="s">
        <v>669</v>
      </c>
      <c r="E58" s="857" t="s">
        <v>41</v>
      </c>
      <c r="F58" s="858">
        <v>60</v>
      </c>
      <c r="G58" s="859"/>
      <c r="H58" s="860">
        <v>58</v>
      </c>
      <c r="I58" s="860">
        <v>56</v>
      </c>
      <c r="J58" s="860"/>
      <c r="K58" s="860">
        <v>60</v>
      </c>
      <c r="L58" s="860">
        <v>52</v>
      </c>
      <c r="M58" s="860">
        <v>51</v>
      </c>
      <c r="N58" s="860">
        <v>55</v>
      </c>
      <c r="O58" s="860"/>
      <c r="P58" s="860">
        <v>0</v>
      </c>
      <c r="Q58" s="860">
        <v>0</v>
      </c>
      <c r="R58" s="860">
        <v>0</v>
      </c>
      <c r="S58" s="860"/>
      <c r="T58" s="860">
        <v>0</v>
      </c>
      <c r="U58" s="860">
        <v>0</v>
      </c>
      <c r="V58" s="860"/>
      <c r="W58" s="860">
        <v>0</v>
      </c>
      <c r="X58" s="860">
        <v>0</v>
      </c>
      <c r="Y58" s="861">
        <v>0</v>
      </c>
      <c r="Z58" s="862">
        <f t="shared" si="14"/>
        <v>392</v>
      </c>
      <c r="AA58" s="848">
        <f t="shared" si="5"/>
        <v>0</v>
      </c>
      <c r="AB58" s="848">
        <f t="shared" si="6"/>
        <v>0</v>
      </c>
      <c r="AC58" s="849">
        <f t="shared" si="1"/>
        <v>392</v>
      </c>
      <c r="AD58" s="863">
        <f t="shared" si="2"/>
        <v>0</v>
      </c>
      <c r="AE58" s="864">
        <f t="shared" si="3"/>
        <v>392</v>
      </c>
      <c r="AG58" s="852">
        <f t="shared" si="7"/>
        <v>60</v>
      </c>
      <c r="AH58" s="852">
        <f t="shared" si="4"/>
        <v>114</v>
      </c>
      <c r="AI58" s="852">
        <f t="shared" si="8"/>
        <v>218</v>
      </c>
      <c r="AJ58" s="852">
        <f t="shared" si="9"/>
        <v>0</v>
      </c>
      <c r="AK58" s="852">
        <f t="shared" si="10"/>
        <v>0</v>
      </c>
      <c r="AL58" s="852">
        <f t="shared" si="11"/>
        <v>0</v>
      </c>
      <c r="AM58" s="853">
        <f t="shared" si="12"/>
        <v>392</v>
      </c>
      <c r="AN58" s="852">
        <f t="shared" si="13"/>
        <v>392</v>
      </c>
    </row>
    <row r="59" spans="1:40" s="824" customFormat="1" ht="13.5" thickBot="1" x14ac:dyDescent="0.25">
      <c r="A59" s="837">
        <v>8315406</v>
      </c>
      <c r="B59" s="854">
        <v>5406</v>
      </c>
      <c r="C59" s="855" t="s">
        <v>203</v>
      </c>
      <c r="D59" s="856" t="s">
        <v>689</v>
      </c>
      <c r="E59" s="857" t="s">
        <v>690</v>
      </c>
      <c r="F59" s="858">
        <v>0</v>
      </c>
      <c r="G59" s="859"/>
      <c r="H59" s="860">
        <v>0</v>
      </c>
      <c r="I59" s="860">
        <v>0</v>
      </c>
      <c r="J59" s="860"/>
      <c r="K59" s="860">
        <v>0</v>
      </c>
      <c r="L59" s="860">
        <v>0</v>
      </c>
      <c r="M59" s="860">
        <v>0</v>
      </c>
      <c r="N59" s="860">
        <v>0</v>
      </c>
      <c r="O59" s="860"/>
      <c r="P59" s="860">
        <v>156</v>
      </c>
      <c r="Q59" s="860">
        <v>163</v>
      </c>
      <c r="R59" s="860">
        <v>160</v>
      </c>
      <c r="S59" s="860"/>
      <c r="T59" s="860">
        <v>176</v>
      </c>
      <c r="U59" s="860">
        <v>200</v>
      </c>
      <c r="V59" s="870"/>
      <c r="W59" s="860">
        <v>0</v>
      </c>
      <c r="X59" s="860">
        <v>0</v>
      </c>
      <c r="Y59" s="861">
        <v>0</v>
      </c>
      <c r="Z59" s="862">
        <f t="shared" si="14"/>
        <v>0</v>
      </c>
      <c r="AA59" s="848">
        <f t="shared" si="5"/>
        <v>479</v>
      </c>
      <c r="AB59" s="848">
        <f t="shared" si="6"/>
        <v>376</v>
      </c>
      <c r="AC59" s="849">
        <f t="shared" si="1"/>
        <v>855</v>
      </c>
      <c r="AD59" s="863">
        <f t="shared" si="2"/>
        <v>0</v>
      </c>
      <c r="AE59" s="864">
        <f t="shared" si="3"/>
        <v>855</v>
      </c>
      <c r="AG59" s="852">
        <f t="shared" si="7"/>
        <v>0</v>
      </c>
      <c r="AH59" s="852">
        <f t="shared" si="4"/>
        <v>0</v>
      </c>
      <c r="AI59" s="852">
        <f t="shared" si="8"/>
        <v>0</v>
      </c>
      <c r="AJ59" s="852">
        <f t="shared" si="9"/>
        <v>479</v>
      </c>
      <c r="AK59" s="852">
        <f t="shared" si="10"/>
        <v>376</v>
      </c>
      <c r="AL59" s="852">
        <f t="shared" si="11"/>
        <v>0</v>
      </c>
      <c r="AM59" s="853">
        <f t="shared" si="12"/>
        <v>855</v>
      </c>
      <c r="AN59" s="852">
        <f t="shared" si="13"/>
        <v>855</v>
      </c>
    </row>
    <row r="60" spans="1:40" s="824" customFormat="1" ht="13.5" thickBot="1" x14ac:dyDescent="0.25">
      <c r="A60" s="837">
        <v>8311104</v>
      </c>
      <c r="B60" s="854">
        <v>1104</v>
      </c>
      <c r="C60" s="855" t="s">
        <v>963</v>
      </c>
      <c r="D60" s="856">
        <v>3014103</v>
      </c>
      <c r="E60" s="857" t="s">
        <v>970</v>
      </c>
      <c r="F60" s="858">
        <v>0</v>
      </c>
      <c r="G60" s="859"/>
      <c r="H60" s="860">
        <v>0</v>
      </c>
      <c r="I60" s="860">
        <v>3</v>
      </c>
      <c r="J60" s="860"/>
      <c r="K60" s="860">
        <v>0</v>
      </c>
      <c r="L60" s="860">
        <v>5</v>
      </c>
      <c r="M60" s="860">
        <v>7</v>
      </c>
      <c r="N60" s="860">
        <v>4</v>
      </c>
      <c r="O60" s="860"/>
      <c r="P60" s="860">
        <v>0</v>
      </c>
      <c r="Q60" s="860">
        <v>0</v>
      </c>
      <c r="R60" s="860">
        <v>0</v>
      </c>
      <c r="S60" s="860"/>
      <c r="T60" s="860">
        <v>0</v>
      </c>
      <c r="U60" s="860">
        <v>0</v>
      </c>
      <c r="V60" s="860"/>
      <c r="W60" s="860">
        <v>0</v>
      </c>
      <c r="X60" s="860">
        <v>0</v>
      </c>
      <c r="Y60" s="861">
        <v>0</v>
      </c>
      <c r="Z60" s="862">
        <f>SUM(F60:Y60)</f>
        <v>19</v>
      </c>
      <c r="AA60" s="848">
        <f t="shared" si="5"/>
        <v>0</v>
      </c>
      <c r="AB60" s="848">
        <f t="shared" si="6"/>
        <v>0</v>
      </c>
      <c r="AC60" s="849">
        <f t="shared" si="1"/>
        <v>19</v>
      </c>
      <c r="AD60" s="863">
        <f t="shared" si="2"/>
        <v>0</v>
      </c>
      <c r="AE60" s="864">
        <f t="shared" si="3"/>
        <v>19</v>
      </c>
      <c r="AG60" s="852">
        <f t="shared" si="7"/>
        <v>0</v>
      </c>
      <c r="AH60" s="852">
        <f t="shared" si="4"/>
        <v>3</v>
      </c>
      <c r="AI60" s="852">
        <f t="shared" si="8"/>
        <v>16</v>
      </c>
      <c r="AJ60" s="852">
        <f t="shared" si="9"/>
        <v>0</v>
      </c>
      <c r="AK60" s="852">
        <f t="shared" si="10"/>
        <v>0</v>
      </c>
      <c r="AL60" s="852">
        <f t="shared" si="11"/>
        <v>0</v>
      </c>
      <c r="AM60" s="853">
        <f t="shared" si="12"/>
        <v>19</v>
      </c>
      <c r="AN60" s="852">
        <f t="shared" si="13"/>
        <v>19</v>
      </c>
    </row>
    <row r="61" spans="1:40" s="824" customFormat="1" ht="13.5" thickBot="1" x14ac:dyDescent="0.25">
      <c r="A61" s="837">
        <v>8315407</v>
      </c>
      <c r="B61" s="854">
        <v>5407</v>
      </c>
      <c r="C61" s="855" t="s">
        <v>203</v>
      </c>
      <c r="D61" s="856" t="s">
        <v>691</v>
      </c>
      <c r="E61" s="857" t="s">
        <v>971</v>
      </c>
      <c r="F61" s="858">
        <v>0</v>
      </c>
      <c r="G61" s="859"/>
      <c r="H61" s="860">
        <v>0</v>
      </c>
      <c r="I61" s="860">
        <v>0</v>
      </c>
      <c r="J61" s="860"/>
      <c r="K61" s="860">
        <v>0</v>
      </c>
      <c r="L61" s="860">
        <v>0</v>
      </c>
      <c r="M61" s="860">
        <v>0</v>
      </c>
      <c r="N61" s="860">
        <v>0</v>
      </c>
      <c r="O61" s="860"/>
      <c r="P61" s="860">
        <v>235</v>
      </c>
      <c r="Q61" s="860">
        <v>202</v>
      </c>
      <c r="R61" s="860">
        <v>223</v>
      </c>
      <c r="S61" s="860">
        <v>-2</v>
      </c>
      <c r="T61" s="860">
        <v>199</v>
      </c>
      <c r="U61" s="860">
        <v>179</v>
      </c>
      <c r="V61" s="870">
        <v>-1</v>
      </c>
      <c r="W61" s="860">
        <v>50</v>
      </c>
      <c r="X61" s="860">
        <v>53</v>
      </c>
      <c r="Y61" s="861">
        <v>13</v>
      </c>
      <c r="Z61" s="862">
        <f t="shared" ref="Z61:Z96" si="15">SUM(F61:O61)</f>
        <v>0</v>
      </c>
      <c r="AA61" s="848">
        <f t="shared" si="5"/>
        <v>658</v>
      </c>
      <c r="AB61" s="848">
        <f t="shared" si="6"/>
        <v>377</v>
      </c>
      <c r="AC61" s="849">
        <f t="shared" si="1"/>
        <v>1035</v>
      </c>
      <c r="AD61" s="863">
        <f t="shared" si="2"/>
        <v>116</v>
      </c>
      <c r="AE61" s="864">
        <f t="shared" si="3"/>
        <v>1151</v>
      </c>
      <c r="AG61" s="852">
        <f t="shared" si="7"/>
        <v>0</v>
      </c>
      <c r="AH61" s="852">
        <f t="shared" si="4"/>
        <v>0</v>
      </c>
      <c r="AI61" s="852">
        <f t="shared" si="8"/>
        <v>0</v>
      </c>
      <c r="AJ61" s="852">
        <f t="shared" si="9"/>
        <v>658</v>
      </c>
      <c r="AK61" s="852">
        <f t="shared" si="10"/>
        <v>377</v>
      </c>
      <c r="AL61" s="852">
        <f t="shared" si="11"/>
        <v>116</v>
      </c>
      <c r="AM61" s="853">
        <f t="shared" si="12"/>
        <v>1035</v>
      </c>
      <c r="AN61" s="852">
        <f t="shared" si="13"/>
        <v>1151</v>
      </c>
    </row>
    <row r="62" spans="1:40" s="824" customFormat="1" ht="13.5" thickBot="1" x14ac:dyDescent="0.25">
      <c r="A62" s="837">
        <v>8312473</v>
      </c>
      <c r="B62" s="854">
        <v>2473</v>
      </c>
      <c r="C62" s="855" t="s">
        <v>266</v>
      </c>
      <c r="D62" s="856" t="s">
        <v>231</v>
      </c>
      <c r="E62" s="857" t="s">
        <v>670</v>
      </c>
      <c r="F62" s="858">
        <v>89</v>
      </c>
      <c r="G62" s="859"/>
      <c r="H62" s="860">
        <v>90</v>
      </c>
      <c r="I62" s="860">
        <v>90</v>
      </c>
      <c r="J62" s="870"/>
      <c r="K62" s="860">
        <v>0</v>
      </c>
      <c r="L62" s="860">
        <v>0</v>
      </c>
      <c r="M62" s="860">
        <v>0</v>
      </c>
      <c r="N62" s="860">
        <v>0</v>
      </c>
      <c r="O62" s="870"/>
      <c r="P62" s="860">
        <v>0</v>
      </c>
      <c r="Q62" s="860">
        <v>0</v>
      </c>
      <c r="R62" s="860">
        <v>0</v>
      </c>
      <c r="S62" s="860"/>
      <c r="T62" s="860">
        <v>0</v>
      </c>
      <c r="U62" s="860">
        <v>0</v>
      </c>
      <c r="V62" s="860"/>
      <c r="W62" s="860">
        <v>0</v>
      </c>
      <c r="X62" s="860">
        <v>0</v>
      </c>
      <c r="Y62" s="861">
        <v>0</v>
      </c>
      <c r="Z62" s="862">
        <f t="shared" si="15"/>
        <v>269</v>
      </c>
      <c r="AA62" s="848">
        <f t="shared" si="5"/>
        <v>0</v>
      </c>
      <c r="AB62" s="848">
        <f t="shared" si="6"/>
        <v>0</v>
      </c>
      <c r="AC62" s="849">
        <f t="shared" si="1"/>
        <v>269</v>
      </c>
      <c r="AD62" s="863">
        <f t="shared" si="2"/>
        <v>0</v>
      </c>
      <c r="AE62" s="864">
        <f t="shared" si="3"/>
        <v>269</v>
      </c>
      <c r="AG62" s="852">
        <f t="shared" si="7"/>
        <v>89</v>
      </c>
      <c r="AH62" s="852">
        <f t="shared" si="4"/>
        <v>180</v>
      </c>
      <c r="AI62" s="852">
        <f t="shared" si="8"/>
        <v>0</v>
      </c>
      <c r="AJ62" s="852">
        <f t="shared" si="9"/>
        <v>0</v>
      </c>
      <c r="AK62" s="852">
        <f t="shared" si="10"/>
        <v>0</v>
      </c>
      <c r="AL62" s="852">
        <f t="shared" si="11"/>
        <v>0</v>
      </c>
      <c r="AM62" s="853">
        <f t="shared" si="12"/>
        <v>269</v>
      </c>
      <c r="AN62" s="852">
        <f t="shared" si="13"/>
        <v>269</v>
      </c>
    </row>
    <row r="63" spans="1:40" s="824" customFormat="1" ht="13.5" thickBot="1" x14ac:dyDescent="0.25">
      <c r="A63" s="837">
        <v>8312471</v>
      </c>
      <c r="B63" s="854">
        <v>2471</v>
      </c>
      <c r="C63" s="855" t="s">
        <v>266</v>
      </c>
      <c r="D63" s="856" t="s">
        <v>671</v>
      </c>
      <c r="E63" s="857" t="s">
        <v>44</v>
      </c>
      <c r="F63" s="858">
        <v>0</v>
      </c>
      <c r="G63" s="859"/>
      <c r="H63" s="860">
        <v>0</v>
      </c>
      <c r="I63" s="860">
        <v>0</v>
      </c>
      <c r="J63" s="860"/>
      <c r="K63" s="860">
        <v>89</v>
      </c>
      <c r="L63" s="860">
        <v>87</v>
      </c>
      <c r="M63" s="860">
        <v>84</v>
      </c>
      <c r="N63" s="860">
        <v>90</v>
      </c>
      <c r="O63" s="860"/>
      <c r="P63" s="860">
        <v>0</v>
      </c>
      <c r="Q63" s="860">
        <v>0</v>
      </c>
      <c r="R63" s="860">
        <v>0</v>
      </c>
      <c r="S63" s="860"/>
      <c r="T63" s="860">
        <v>0</v>
      </c>
      <c r="U63" s="860">
        <v>0</v>
      </c>
      <c r="V63" s="860"/>
      <c r="W63" s="860">
        <v>0</v>
      </c>
      <c r="X63" s="860">
        <v>0</v>
      </c>
      <c r="Y63" s="861">
        <v>0</v>
      </c>
      <c r="Z63" s="862">
        <f t="shared" si="15"/>
        <v>350</v>
      </c>
      <c r="AA63" s="848">
        <f t="shared" si="5"/>
        <v>0</v>
      </c>
      <c r="AB63" s="848">
        <f t="shared" si="6"/>
        <v>0</v>
      </c>
      <c r="AC63" s="849">
        <f t="shared" si="1"/>
        <v>350</v>
      </c>
      <c r="AD63" s="863">
        <f t="shared" si="2"/>
        <v>0</v>
      </c>
      <c r="AE63" s="864">
        <f t="shared" si="3"/>
        <v>350</v>
      </c>
      <c r="AG63" s="852">
        <f t="shared" si="7"/>
        <v>0</v>
      </c>
      <c r="AH63" s="852">
        <f t="shared" si="4"/>
        <v>0</v>
      </c>
      <c r="AI63" s="852">
        <f t="shared" si="8"/>
        <v>350</v>
      </c>
      <c r="AJ63" s="852">
        <f t="shared" si="9"/>
        <v>0</v>
      </c>
      <c r="AK63" s="852">
        <f t="shared" si="10"/>
        <v>0</v>
      </c>
      <c r="AL63" s="852">
        <f t="shared" si="11"/>
        <v>0</v>
      </c>
      <c r="AM63" s="853">
        <f t="shared" si="12"/>
        <v>350</v>
      </c>
      <c r="AN63" s="852">
        <f t="shared" si="13"/>
        <v>350</v>
      </c>
    </row>
    <row r="64" spans="1:40" s="824" customFormat="1" ht="13.5" thickBot="1" x14ac:dyDescent="0.25">
      <c r="A64" s="837">
        <v>8312420</v>
      </c>
      <c r="B64" s="854">
        <v>2420</v>
      </c>
      <c r="C64" s="855" t="s">
        <v>266</v>
      </c>
      <c r="D64" s="856" t="s">
        <v>230</v>
      </c>
      <c r="E64" s="857" t="s">
        <v>43</v>
      </c>
      <c r="F64" s="858">
        <v>87</v>
      </c>
      <c r="G64" s="859">
        <v>-1</v>
      </c>
      <c r="H64" s="860">
        <v>90</v>
      </c>
      <c r="I64" s="860">
        <v>88</v>
      </c>
      <c r="J64" s="860">
        <v>-4</v>
      </c>
      <c r="K64" s="860">
        <v>53</v>
      </c>
      <c r="L64" s="860">
        <v>75</v>
      </c>
      <c r="M64" s="860">
        <v>60</v>
      </c>
      <c r="N64" s="860">
        <v>59</v>
      </c>
      <c r="O64" s="860">
        <v>-4</v>
      </c>
      <c r="P64" s="860">
        <v>0</v>
      </c>
      <c r="Q64" s="860">
        <v>0</v>
      </c>
      <c r="R64" s="860">
        <v>0</v>
      </c>
      <c r="S64" s="860"/>
      <c r="T64" s="860">
        <v>0</v>
      </c>
      <c r="U64" s="860">
        <v>0</v>
      </c>
      <c r="V64" s="860"/>
      <c r="W64" s="860">
        <v>0</v>
      </c>
      <c r="X64" s="860">
        <v>0</v>
      </c>
      <c r="Y64" s="861">
        <v>0</v>
      </c>
      <c r="Z64" s="862">
        <f t="shared" si="15"/>
        <v>503</v>
      </c>
      <c r="AA64" s="848">
        <f t="shared" si="5"/>
        <v>0</v>
      </c>
      <c r="AB64" s="848">
        <f t="shared" si="6"/>
        <v>0</v>
      </c>
      <c r="AC64" s="849">
        <f t="shared" si="1"/>
        <v>503</v>
      </c>
      <c r="AD64" s="863">
        <f t="shared" si="2"/>
        <v>0</v>
      </c>
      <c r="AE64" s="864">
        <f t="shared" si="3"/>
        <v>503</v>
      </c>
      <c r="AG64" s="852">
        <f t="shared" si="7"/>
        <v>86</v>
      </c>
      <c r="AH64" s="852">
        <f t="shared" si="4"/>
        <v>174</v>
      </c>
      <c r="AI64" s="852">
        <f t="shared" si="8"/>
        <v>243</v>
      </c>
      <c r="AJ64" s="852">
        <f t="shared" si="9"/>
        <v>0</v>
      </c>
      <c r="AK64" s="852">
        <f t="shared" si="10"/>
        <v>0</v>
      </c>
      <c r="AL64" s="852">
        <f t="shared" si="11"/>
        <v>0</v>
      </c>
      <c r="AM64" s="853">
        <f t="shared" si="12"/>
        <v>503</v>
      </c>
      <c r="AN64" s="852">
        <f t="shared" si="13"/>
        <v>503</v>
      </c>
    </row>
    <row r="65" spans="1:40" s="824" customFormat="1" ht="13.5" thickBot="1" x14ac:dyDescent="0.25">
      <c r="A65" s="837">
        <v>8312003</v>
      </c>
      <c r="B65" s="854">
        <v>2003</v>
      </c>
      <c r="C65" s="855" t="s">
        <v>266</v>
      </c>
      <c r="D65" s="856" t="s">
        <v>232</v>
      </c>
      <c r="E65" s="857" t="s">
        <v>45</v>
      </c>
      <c r="F65" s="858">
        <v>30</v>
      </c>
      <c r="G65" s="859"/>
      <c r="H65" s="860">
        <v>32</v>
      </c>
      <c r="I65" s="860">
        <v>30</v>
      </c>
      <c r="J65" s="860"/>
      <c r="K65" s="860">
        <v>31</v>
      </c>
      <c r="L65" s="860">
        <v>30</v>
      </c>
      <c r="M65" s="860">
        <v>30</v>
      </c>
      <c r="N65" s="860">
        <v>30</v>
      </c>
      <c r="O65" s="860"/>
      <c r="P65" s="860">
        <v>0</v>
      </c>
      <c r="Q65" s="860">
        <v>0</v>
      </c>
      <c r="R65" s="860">
        <v>0</v>
      </c>
      <c r="S65" s="860"/>
      <c r="T65" s="860">
        <v>0</v>
      </c>
      <c r="U65" s="860">
        <v>0</v>
      </c>
      <c r="V65" s="860"/>
      <c r="W65" s="860">
        <v>0</v>
      </c>
      <c r="X65" s="860">
        <v>0</v>
      </c>
      <c r="Y65" s="861">
        <v>0</v>
      </c>
      <c r="Z65" s="862">
        <f t="shared" si="15"/>
        <v>213</v>
      </c>
      <c r="AA65" s="848">
        <f t="shared" si="5"/>
        <v>0</v>
      </c>
      <c r="AB65" s="848">
        <f t="shared" si="6"/>
        <v>0</v>
      </c>
      <c r="AC65" s="849">
        <f t="shared" si="1"/>
        <v>213</v>
      </c>
      <c r="AD65" s="863">
        <f t="shared" si="2"/>
        <v>0</v>
      </c>
      <c r="AE65" s="864">
        <f t="shared" si="3"/>
        <v>213</v>
      </c>
      <c r="AG65" s="852">
        <f t="shared" si="7"/>
        <v>30</v>
      </c>
      <c r="AH65" s="852">
        <f t="shared" si="4"/>
        <v>62</v>
      </c>
      <c r="AI65" s="852">
        <f t="shared" si="8"/>
        <v>121</v>
      </c>
      <c r="AJ65" s="852">
        <f t="shared" si="9"/>
        <v>0</v>
      </c>
      <c r="AK65" s="852">
        <f t="shared" si="10"/>
        <v>0</v>
      </c>
      <c r="AL65" s="852">
        <f t="shared" si="11"/>
        <v>0</v>
      </c>
      <c r="AM65" s="853">
        <f t="shared" si="12"/>
        <v>213</v>
      </c>
      <c r="AN65" s="852">
        <f t="shared" si="13"/>
        <v>213</v>
      </c>
    </row>
    <row r="66" spans="1:40" s="824" customFormat="1" ht="13.5" thickBot="1" x14ac:dyDescent="0.25">
      <c r="A66" s="837">
        <v>8312423</v>
      </c>
      <c r="B66" s="854">
        <v>2423</v>
      </c>
      <c r="C66" s="855" t="s">
        <v>266</v>
      </c>
      <c r="D66" s="856" t="s">
        <v>972</v>
      </c>
      <c r="E66" s="857" t="s">
        <v>46</v>
      </c>
      <c r="F66" s="858">
        <v>0</v>
      </c>
      <c r="G66" s="859"/>
      <c r="H66" s="860">
        <v>0</v>
      </c>
      <c r="I66" s="860">
        <v>0</v>
      </c>
      <c r="J66" s="860"/>
      <c r="K66" s="860">
        <v>81</v>
      </c>
      <c r="L66" s="860">
        <v>82</v>
      </c>
      <c r="M66" s="860">
        <v>87</v>
      </c>
      <c r="N66" s="860">
        <v>83</v>
      </c>
      <c r="O66" s="860"/>
      <c r="P66" s="860">
        <v>0</v>
      </c>
      <c r="Q66" s="860">
        <v>0</v>
      </c>
      <c r="R66" s="860">
        <v>0</v>
      </c>
      <c r="S66" s="860"/>
      <c r="T66" s="860">
        <v>0</v>
      </c>
      <c r="U66" s="860">
        <v>0</v>
      </c>
      <c r="V66" s="860"/>
      <c r="W66" s="860">
        <v>0</v>
      </c>
      <c r="X66" s="860">
        <v>0</v>
      </c>
      <c r="Y66" s="861">
        <v>0</v>
      </c>
      <c r="Z66" s="862">
        <f t="shared" si="15"/>
        <v>333</v>
      </c>
      <c r="AA66" s="848">
        <f t="shared" si="5"/>
        <v>0</v>
      </c>
      <c r="AB66" s="848">
        <f t="shared" si="6"/>
        <v>0</v>
      </c>
      <c r="AC66" s="849">
        <f t="shared" si="1"/>
        <v>333</v>
      </c>
      <c r="AD66" s="863">
        <f t="shared" si="2"/>
        <v>0</v>
      </c>
      <c r="AE66" s="864">
        <f t="shared" si="3"/>
        <v>333</v>
      </c>
      <c r="AG66" s="852">
        <f t="shared" si="7"/>
        <v>0</v>
      </c>
      <c r="AH66" s="852">
        <f t="shared" si="4"/>
        <v>0</v>
      </c>
      <c r="AI66" s="852">
        <f t="shared" si="8"/>
        <v>333</v>
      </c>
      <c r="AJ66" s="852">
        <f t="shared" si="9"/>
        <v>0</v>
      </c>
      <c r="AK66" s="852">
        <f t="shared" si="10"/>
        <v>0</v>
      </c>
      <c r="AL66" s="852">
        <f t="shared" si="11"/>
        <v>0</v>
      </c>
      <c r="AM66" s="853">
        <f t="shared" si="12"/>
        <v>333</v>
      </c>
      <c r="AN66" s="852">
        <f t="shared" si="13"/>
        <v>333</v>
      </c>
    </row>
    <row r="67" spans="1:40" s="824" customFormat="1" ht="13.5" thickBot="1" x14ac:dyDescent="0.25">
      <c r="A67" s="837">
        <v>8312424</v>
      </c>
      <c r="B67" s="854">
        <v>2424</v>
      </c>
      <c r="C67" s="855" t="s">
        <v>266</v>
      </c>
      <c r="D67" s="856" t="s">
        <v>973</v>
      </c>
      <c r="E67" s="857" t="s">
        <v>47</v>
      </c>
      <c r="F67" s="858">
        <v>90</v>
      </c>
      <c r="G67" s="859"/>
      <c r="H67" s="860">
        <v>90</v>
      </c>
      <c r="I67" s="860">
        <v>90</v>
      </c>
      <c r="J67" s="860"/>
      <c r="K67" s="860">
        <v>0</v>
      </c>
      <c r="L67" s="860">
        <v>0</v>
      </c>
      <c r="M67" s="860">
        <v>0</v>
      </c>
      <c r="N67" s="860">
        <v>0</v>
      </c>
      <c r="O67" s="860"/>
      <c r="P67" s="860">
        <v>0</v>
      </c>
      <c r="Q67" s="860">
        <v>0</v>
      </c>
      <c r="R67" s="860">
        <v>0</v>
      </c>
      <c r="S67" s="860"/>
      <c r="T67" s="860">
        <v>0</v>
      </c>
      <c r="U67" s="860">
        <v>0</v>
      </c>
      <c r="V67" s="860"/>
      <c r="W67" s="860">
        <v>0</v>
      </c>
      <c r="X67" s="860">
        <v>0</v>
      </c>
      <c r="Y67" s="861">
        <v>0</v>
      </c>
      <c r="Z67" s="862">
        <f t="shared" si="15"/>
        <v>270</v>
      </c>
      <c r="AA67" s="848">
        <f t="shared" si="5"/>
        <v>0</v>
      </c>
      <c r="AB67" s="848">
        <f t="shared" si="6"/>
        <v>0</v>
      </c>
      <c r="AC67" s="849">
        <f t="shared" ref="AC67:AC104" si="16">SUM(F67:V67)</f>
        <v>270</v>
      </c>
      <c r="AD67" s="863">
        <f t="shared" ref="AD67:AD104" si="17">SUM(W67:Y67)</f>
        <v>0</v>
      </c>
      <c r="AE67" s="864">
        <f t="shared" ref="AE67:AE104" si="18">SUM(AC67:AD67)</f>
        <v>270</v>
      </c>
      <c r="AG67" s="852">
        <f t="shared" si="7"/>
        <v>90</v>
      </c>
      <c r="AH67" s="852">
        <f t="shared" ref="AH67:AH104" si="19">H67+I67+J67</f>
        <v>180</v>
      </c>
      <c r="AI67" s="852">
        <f t="shared" si="8"/>
        <v>0</v>
      </c>
      <c r="AJ67" s="852">
        <f t="shared" si="9"/>
        <v>0</v>
      </c>
      <c r="AK67" s="852">
        <f t="shared" si="10"/>
        <v>0</v>
      </c>
      <c r="AL67" s="852">
        <f t="shared" si="11"/>
        <v>0</v>
      </c>
      <c r="AM67" s="853">
        <f t="shared" si="12"/>
        <v>270</v>
      </c>
      <c r="AN67" s="852">
        <f t="shared" si="13"/>
        <v>270</v>
      </c>
    </row>
    <row r="68" spans="1:40" s="824" customFormat="1" ht="13.5" thickBot="1" x14ac:dyDescent="0.25">
      <c r="A68" s="837">
        <v>8312439</v>
      </c>
      <c r="B68" s="854">
        <v>2439</v>
      </c>
      <c r="C68" s="855" t="s">
        <v>266</v>
      </c>
      <c r="D68" s="856" t="s">
        <v>974</v>
      </c>
      <c r="E68" s="857" t="s">
        <v>48</v>
      </c>
      <c r="F68" s="858">
        <v>90</v>
      </c>
      <c r="G68" s="859"/>
      <c r="H68" s="860">
        <v>87</v>
      </c>
      <c r="I68" s="860">
        <v>79</v>
      </c>
      <c r="J68" s="860"/>
      <c r="K68" s="860">
        <v>0</v>
      </c>
      <c r="L68" s="860">
        <v>0</v>
      </c>
      <c r="M68" s="860">
        <v>0</v>
      </c>
      <c r="N68" s="860">
        <v>0</v>
      </c>
      <c r="O68" s="860"/>
      <c r="P68" s="860">
        <v>0</v>
      </c>
      <c r="Q68" s="860">
        <v>0</v>
      </c>
      <c r="R68" s="860">
        <v>0</v>
      </c>
      <c r="S68" s="860"/>
      <c r="T68" s="860">
        <v>0</v>
      </c>
      <c r="U68" s="860">
        <v>0</v>
      </c>
      <c r="V68" s="860"/>
      <c r="W68" s="860">
        <v>0</v>
      </c>
      <c r="X68" s="860">
        <v>0</v>
      </c>
      <c r="Y68" s="861">
        <v>0</v>
      </c>
      <c r="Z68" s="862">
        <f t="shared" si="15"/>
        <v>256</v>
      </c>
      <c r="AA68" s="848">
        <f t="shared" ref="AA68:AA104" si="20">SUM(P68:S68)</f>
        <v>0</v>
      </c>
      <c r="AB68" s="848">
        <f t="shared" ref="AB68:AB104" si="21">SUM(T68:V68)</f>
        <v>0</v>
      </c>
      <c r="AC68" s="849">
        <f t="shared" si="16"/>
        <v>256</v>
      </c>
      <c r="AD68" s="863">
        <f t="shared" si="17"/>
        <v>0</v>
      </c>
      <c r="AE68" s="864">
        <f t="shared" si="18"/>
        <v>256</v>
      </c>
      <c r="AG68" s="852">
        <f t="shared" ref="AG68:AG104" si="22">F68+G68</f>
        <v>90</v>
      </c>
      <c r="AH68" s="852">
        <f t="shared" si="19"/>
        <v>166</v>
      </c>
      <c r="AI68" s="852">
        <f t="shared" ref="AI68:AI104" si="23">K68+L68+M68+N68+O68</f>
        <v>0</v>
      </c>
      <c r="AJ68" s="852">
        <f t="shared" ref="AJ68:AJ104" si="24">SUM(P68:S68)</f>
        <v>0</v>
      </c>
      <c r="AK68" s="852">
        <f t="shared" ref="AK68:AK104" si="25">SUM(T68:V68)</f>
        <v>0</v>
      </c>
      <c r="AL68" s="852">
        <f t="shared" ref="AL68:AL104" si="26">SUM(W68:Y68)</f>
        <v>0</v>
      </c>
      <c r="AM68" s="853">
        <f t="shared" ref="AM68:AM104" si="27">SUM(AG68:AK68)</f>
        <v>256</v>
      </c>
      <c r="AN68" s="852">
        <f t="shared" ref="AN68:AN104" si="28">AM68+AL68</f>
        <v>256</v>
      </c>
    </row>
    <row r="69" spans="1:40" s="824" customFormat="1" ht="13.5" thickBot="1" x14ac:dyDescent="0.25">
      <c r="A69" s="837">
        <v>8312440</v>
      </c>
      <c r="B69" s="854">
        <v>2440</v>
      </c>
      <c r="C69" s="855" t="s">
        <v>266</v>
      </c>
      <c r="D69" s="856" t="s">
        <v>672</v>
      </c>
      <c r="E69" s="857" t="s">
        <v>49</v>
      </c>
      <c r="F69" s="858">
        <v>0</v>
      </c>
      <c r="G69" s="859"/>
      <c r="H69" s="860">
        <v>0</v>
      </c>
      <c r="I69" s="860">
        <v>0</v>
      </c>
      <c r="J69" s="860"/>
      <c r="K69" s="860">
        <v>80</v>
      </c>
      <c r="L69" s="860">
        <v>84</v>
      </c>
      <c r="M69" s="860">
        <v>80</v>
      </c>
      <c r="N69" s="860">
        <v>82</v>
      </c>
      <c r="O69" s="860"/>
      <c r="P69" s="860">
        <v>0</v>
      </c>
      <c r="Q69" s="860">
        <v>0</v>
      </c>
      <c r="R69" s="860">
        <v>0</v>
      </c>
      <c r="S69" s="860"/>
      <c r="T69" s="860">
        <v>0</v>
      </c>
      <c r="U69" s="860">
        <v>0</v>
      </c>
      <c r="V69" s="860"/>
      <c r="W69" s="860">
        <v>0</v>
      </c>
      <c r="X69" s="860">
        <v>0</v>
      </c>
      <c r="Y69" s="861">
        <v>0</v>
      </c>
      <c r="Z69" s="862">
        <f t="shared" si="15"/>
        <v>326</v>
      </c>
      <c r="AA69" s="848">
        <f t="shared" si="20"/>
        <v>0</v>
      </c>
      <c r="AB69" s="848">
        <f t="shared" si="21"/>
        <v>0</v>
      </c>
      <c r="AC69" s="849">
        <f t="shared" si="16"/>
        <v>326</v>
      </c>
      <c r="AD69" s="863">
        <f t="shared" si="17"/>
        <v>0</v>
      </c>
      <c r="AE69" s="864">
        <f t="shared" si="18"/>
        <v>326</v>
      </c>
      <c r="AG69" s="852">
        <f t="shared" si="22"/>
        <v>0</v>
      </c>
      <c r="AH69" s="852">
        <f t="shared" si="19"/>
        <v>0</v>
      </c>
      <c r="AI69" s="852">
        <f t="shared" si="23"/>
        <v>326</v>
      </c>
      <c r="AJ69" s="852">
        <f t="shared" si="24"/>
        <v>0</v>
      </c>
      <c r="AK69" s="852">
        <f t="shared" si="25"/>
        <v>0</v>
      </c>
      <c r="AL69" s="852">
        <f t="shared" si="26"/>
        <v>0</v>
      </c>
      <c r="AM69" s="853">
        <f t="shared" si="27"/>
        <v>326</v>
      </c>
      <c r="AN69" s="852">
        <f t="shared" si="28"/>
        <v>326</v>
      </c>
    </row>
    <row r="70" spans="1:40" s="824" customFormat="1" ht="13.5" thickBot="1" x14ac:dyDescent="0.25">
      <c r="A70" s="837">
        <v>8312462</v>
      </c>
      <c r="B70" s="854">
        <v>2462</v>
      </c>
      <c r="C70" s="855" t="s">
        <v>266</v>
      </c>
      <c r="D70" s="856" t="s">
        <v>233</v>
      </c>
      <c r="E70" s="857" t="s">
        <v>975</v>
      </c>
      <c r="F70" s="858">
        <v>87</v>
      </c>
      <c r="G70" s="859"/>
      <c r="H70" s="860">
        <v>63</v>
      </c>
      <c r="I70" s="860">
        <v>88</v>
      </c>
      <c r="J70" s="860"/>
      <c r="K70" s="860">
        <v>0</v>
      </c>
      <c r="L70" s="860">
        <v>0</v>
      </c>
      <c r="M70" s="860">
        <v>0</v>
      </c>
      <c r="N70" s="860">
        <v>0</v>
      </c>
      <c r="O70" s="860"/>
      <c r="P70" s="860">
        <v>0</v>
      </c>
      <c r="Q70" s="860">
        <v>0</v>
      </c>
      <c r="R70" s="860">
        <v>0</v>
      </c>
      <c r="S70" s="860"/>
      <c r="T70" s="860">
        <v>0</v>
      </c>
      <c r="U70" s="860">
        <v>0</v>
      </c>
      <c r="V70" s="860"/>
      <c r="W70" s="860">
        <v>0</v>
      </c>
      <c r="X70" s="860">
        <v>0</v>
      </c>
      <c r="Y70" s="861">
        <v>0</v>
      </c>
      <c r="Z70" s="862">
        <f t="shared" si="15"/>
        <v>238</v>
      </c>
      <c r="AA70" s="848">
        <f t="shared" si="20"/>
        <v>0</v>
      </c>
      <c r="AB70" s="848">
        <f t="shared" si="21"/>
        <v>0</v>
      </c>
      <c r="AC70" s="849">
        <f t="shared" si="16"/>
        <v>238</v>
      </c>
      <c r="AD70" s="863">
        <f t="shared" si="17"/>
        <v>0</v>
      </c>
      <c r="AE70" s="864">
        <f t="shared" si="18"/>
        <v>238</v>
      </c>
      <c r="AG70" s="852">
        <f t="shared" si="22"/>
        <v>87</v>
      </c>
      <c r="AH70" s="852">
        <f t="shared" si="19"/>
        <v>151</v>
      </c>
      <c r="AI70" s="852">
        <f t="shared" si="23"/>
        <v>0</v>
      </c>
      <c r="AJ70" s="852">
        <f t="shared" si="24"/>
        <v>0</v>
      </c>
      <c r="AK70" s="852">
        <f t="shared" si="25"/>
        <v>0</v>
      </c>
      <c r="AL70" s="852">
        <f t="shared" si="26"/>
        <v>0</v>
      </c>
      <c r="AM70" s="853">
        <f t="shared" si="27"/>
        <v>238</v>
      </c>
      <c r="AN70" s="852">
        <f t="shared" si="28"/>
        <v>238</v>
      </c>
    </row>
    <row r="71" spans="1:40" s="824" customFormat="1" ht="13.5" thickBot="1" x14ac:dyDescent="0.25">
      <c r="A71" s="837">
        <v>8312463</v>
      </c>
      <c r="B71" s="854">
        <v>2463</v>
      </c>
      <c r="C71" s="855" t="s">
        <v>266</v>
      </c>
      <c r="D71" s="856" t="s">
        <v>673</v>
      </c>
      <c r="E71" s="857" t="s">
        <v>50</v>
      </c>
      <c r="F71" s="858">
        <v>0</v>
      </c>
      <c r="G71" s="859"/>
      <c r="H71" s="860">
        <v>0</v>
      </c>
      <c r="I71" s="860">
        <v>0</v>
      </c>
      <c r="J71" s="860"/>
      <c r="K71" s="860">
        <v>90</v>
      </c>
      <c r="L71" s="860">
        <v>81</v>
      </c>
      <c r="M71" s="860">
        <v>84</v>
      </c>
      <c r="N71" s="860">
        <v>81</v>
      </c>
      <c r="O71" s="860"/>
      <c r="P71" s="860">
        <v>0</v>
      </c>
      <c r="Q71" s="860">
        <v>0</v>
      </c>
      <c r="R71" s="860">
        <v>0</v>
      </c>
      <c r="S71" s="860"/>
      <c r="T71" s="860">
        <v>0</v>
      </c>
      <c r="U71" s="860">
        <v>0</v>
      </c>
      <c r="V71" s="860"/>
      <c r="W71" s="860">
        <v>0</v>
      </c>
      <c r="X71" s="860">
        <v>0</v>
      </c>
      <c r="Y71" s="861">
        <v>0</v>
      </c>
      <c r="Z71" s="862">
        <f t="shared" si="15"/>
        <v>336</v>
      </c>
      <c r="AA71" s="848">
        <f t="shared" si="20"/>
        <v>0</v>
      </c>
      <c r="AB71" s="848">
        <f t="shared" si="21"/>
        <v>0</v>
      </c>
      <c r="AC71" s="849">
        <f t="shared" si="16"/>
        <v>336</v>
      </c>
      <c r="AD71" s="863">
        <f t="shared" si="17"/>
        <v>0</v>
      </c>
      <c r="AE71" s="864">
        <f t="shared" si="18"/>
        <v>336</v>
      </c>
      <c r="AG71" s="852">
        <f t="shared" si="22"/>
        <v>0</v>
      </c>
      <c r="AH71" s="852">
        <f t="shared" si="19"/>
        <v>0</v>
      </c>
      <c r="AI71" s="852">
        <f t="shared" si="23"/>
        <v>336</v>
      </c>
      <c r="AJ71" s="852">
        <f t="shared" si="24"/>
        <v>0</v>
      </c>
      <c r="AK71" s="852">
        <f t="shared" si="25"/>
        <v>0</v>
      </c>
      <c r="AL71" s="852">
        <f t="shared" si="26"/>
        <v>0</v>
      </c>
      <c r="AM71" s="853">
        <f t="shared" si="27"/>
        <v>336</v>
      </c>
      <c r="AN71" s="852">
        <f t="shared" si="28"/>
        <v>336</v>
      </c>
    </row>
    <row r="72" spans="1:40" s="824" customFormat="1" ht="13.5" thickBot="1" x14ac:dyDescent="0.25">
      <c r="A72" s="837">
        <v>8312505</v>
      </c>
      <c r="B72" s="854">
        <v>2505</v>
      </c>
      <c r="C72" s="855" t="s">
        <v>266</v>
      </c>
      <c r="D72" s="856" t="s">
        <v>234</v>
      </c>
      <c r="E72" s="857" t="s">
        <v>51</v>
      </c>
      <c r="F72" s="858">
        <v>90</v>
      </c>
      <c r="G72" s="869"/>
      <c r="H72" s="860">
        <v>89</v>
      </c>
      <c r="I72" s="860">
        <v>77</v>
      </c>
      <c r="J72" s="860"/>
      <c r="K72" s="860">
        <v>71</v>
      </c>
      <c r="L72" s="860">
        <v>72</v>
      </c>
      <c r="M72" s="860">
        <v>68</v>
      </c>
      <c r="N72" s="860">
        <v>56</v>
      </c>
      <c r="O72" s="860"/>
      <c r="P72" s="860">
        <v>0</v>
      </c>
      <c r="Q72" s="860">
        <v>0</v>
      </c>
      <c r="R72" s="860">
        <v>0</v>
      </c>
      <c r="S72" s="860"/>
      <c r="T72" s="860">
        <v>0</v>
      </c>
      <c r="U72" s="860">
        <v>0</v>
      </c>
      <c r="V72" s="860"/>
      <c r="W72" s="860">
        <v>0</v>
      </c>
      <c r="X72" s="860">
        <v>0</v>
      </c>
      <c r="Y72" s="861">
        <v>0</v>
      </c>
      <c r="Z72" s="862">
        <f t="shared" si="15"/>
        <v>523</v>
      </c>
      <c r="AA72" s="848">
        <f t="shared" si="20"/>
        <v>0</v>
      </c>
      <c r="AB72" s="848">
        <f t="shared" si="21"/>
        <v>0</v>
      </c>
      <c r="AC72" s="849">
        <f t="shared" si="16"/>
        <v>523</v>
      </c>
      <c r="AD72" s="863">
        <f t="shared" si="17"/>
        <v>0</v>
      </c>
      <c r="AE72" s="864">
        <f t="shared" si="18"/>
        <v>523</v>
      </c>
      <c r="AG72" s="852">
        <f t="shared" si="22"/>
        <v>90</v>
      </c>
      <c r="AH72" s="852">
        <f t="shared" si="19"/>
        <v>166</v>
      </c>
      <c r="AI72" s="852">
        <f t="shared" si="23"/>
        <v>267</v>
      </c>
      <c r="AJ72" s="852">
        <f t="shared" si="24"/>
        <v>0</v>
      </c>
      <c r="AK72" s="852">
        <f t="shared" si="25"/>
        <v>0</v>
      </c>
      <c r="AL72" s="852">
        <f t="shared" si="26"/>
        <v>0</v>
      </c>
      <c r="AM72" s="853">
        <f t="shared" si="27"/>
        <v>523</v>
      </c>
      <c r="AN72" s="852">
        <f t="shared" si="28"/>
        <v>523</v>
      </c>
    </row>
    <row r="73" spans="1:40" s="824" customFormat="1" ht="13.5" thickBot="1" x14ac:dyDescent="0.25">
      <c r="A73" s="837">
        <v>8312000</v>
      </c>
      <c r="B73" s="854">
        <v>2000</v>
      </c>
      <c r="C73" s="855" t="s">
        <v>266</v>
      </c>
      <c r="D73" s="856" t="s">
        <v>235</v>
      </c>
      <c r="E73" s="857" t="s">
        <v>52</v>
      </c>
      <c r="F73" s="858">
        <v>54</v>
      </c>
      <c r="G73" s="859"/>
      <c r="H73" s="860">
        <v>42</v>
      </c>
      <c r="I73" s="860">
        <v>46</v>
      </c>
      <c r="J73" s="860"/>
      <c r="K73" s="860">
        <v>53</v>
      </c>
      <c r="L73" s="860">
        <v>34</v>
      </c>
      <c r="M73" s="860">
        <v>49</v>
      </c>
      <c r="N73" s="860">
        <v>49</v>
      </c>
      <c r="O73" s="860">
        <v>-1</v>
      </c>
      <c r="P73" s="860">
        <v>0</v>
      </c>
      <c r="Q73" s="860">
        <v>0</v>
      </c>
      <c r="R73" s="860">
        <v>0</v>
      </c>
      <c r="S73" s="860"/>
      <c r="T73" s="860">
        <v>0</v>
      </c>
      <c r="U73" s="860">
        <v>0</v>
      </c>
      <c r="V73" s="860"/>
      <c r="W73" s="860">
        <v>0</v>
      </c>
      <c r="X73" s="860">
        <v>0</v>
      </c>
      <c r="Y73" s="861">
        <v>0</v>
      </c>
      <c r="Z73" s="862">
        <f t="shared" si="15"/>
        <v>326</v>
      </c>
      <c r="AA73" s="848">
        <f t="shared" si="20"/>
        <v>0</v>
      </c>
      <c r="AB73" s="848">
        <f t="shared" si="21"/>
        <v>0</v>
      </c>
      <c r="AC73" s="849">
        <f t="shared" si="16"/>
        <v>326</v>
      </c>
      <c r="AD73" s="863">
        <f t="shared" si="17"/>
        <v>0</v>
      </c>
      <c r="AE73" s="864">
        <f t="shared" si="18"/>
        <v>326</v>
      </c>
      <c r="AG73" s="852">
        <f t="shared" si="22"/>
        <v>54</v>
      </c>
      <c r="AH73" s="852">
        <f t="shared" si="19"/>
        <v>88</v>
      </c>
      <c r="AI73" s="852">
        <f t="shared" si="23"/>
        <v>184</v>
      </c>
      <c r="AJ73" s="852">
        <f t="shared" si="24"/>
        <v>0</v>
      </c>
      <c r="AK73" s="852">
        <f t="shared" si="25"/>
        <v>0</v>
      </c>
      <c r="AL73" s="852">
        <f t="shared" si="26"/>
        <v>0</v>
      </c>
      <c r="AM73" s="853">
        <f t="shared" si="27"/>
        <v>326</v>
      </c>
      <c r="AN73" s="852">
        <f t="shared" si="28"/>
        <v>326</v>
      </c>
    </row>
    <row r="74" spans="1:40" s="824" customFormat="1" ht="13.5" thickBot="1" x14ac:dyDescent="0.25">
      <c r="A74" s="837">
        <v>8312458</v>
      </c>
      <c r="B74" s="854">
        <v>2458</v>
      </c>
      <c r="C74" s="855" t="s">
        <v>266</v>
      </c>
      <c r="D74" s="856" t="s">
        <v>674</v>
      </c>
      <c r="E74" s="857" t="s">
        <v>53</v>
      </c>
      <c r="F74" s="858">
        <v>90</v>
      </c>
      <c r="G74" s="859"/>
      <c r="H74" s="860">
        <v>90</v>
      </c>
      <c r="I74" s="860">
        <v>90</v>
      </c>
      <c r="J74" s="860"/>
      <c r="K74" s="860">
        <v>0</v>
      </c>
      <c r="L74" s="860">
        <v>0</v>
      </c>
      <c r="M74" s="860">
        <v>0</v>
      </c>
      <c r="N74" s="860">
        <v>0</v>
      </c>
      <c r="O74" s="860"/>
      <c r="P74" s="860">
        <v>0</v>
      </c>
      <c r="Q74" s="860">
        <v>0</v>
      </c>
      <c r="R74" s="860">
        <v>0</v>
      </c>
      <c r="S74" s="860"/>
      <c r="T74" s="860">
        <v>0</v>
      </c>
      <c r="U74" s="860">
        <v>0</v>
      </c>
      <c r="V74" s="860"/>
      <c r="W74" s="860">
        <v>0</v>
      </c>
      <c r="X74" s="860">
        <v>0</v>
      </c>
      <c r="Y74" s="861">
        <v>0</v>
      </c>
      <c r="Z74" s="862">
        <f t="shared" si="15"/>
        <v>270</v>
      </c>
      <c r="AA74" s="848">
        <f t="shared" si="20"/>
        <v>0</v>
      </c>
      <c r="AB74" s="848">
        <f t="shared" si="21"/>
        <v>0</v>
      </c>
      <c r="AC74" s="849">
        <f t="shared" si="16"/>
        <v>270</v>
      </c>
      <c r="AD74" s="863">
        <f t="shared" si="17"/>
        <v>0</v>
      </c>
      <c r="AE74" s="864">
        <f t="shared" si="18"/>
        <v>270</v>
      </c>
      <c r="AG74" s="852">
        <f t="shared" si="22"/>
        <v>90</v>
      </c>
      <c r="AH74" s="852">
        <f t="shared" si="19"/>
        <v>180</v>
      </c>
      <c r="AI74" s="852">
        <f t="shared" si="23"/>
        <v>0</v>
      </c>
      <c r="AJ74" s="852">
        <f t="shared" si="24"/>
        <v>0</v>
      </c>
      <c r="AK74" s="852">
        <f t="shared" si="25"/>
        <v>0</v>
      </c>
      <c r="AL74" s="852">
        <f t="shared" si="26"/>
        <v>0</v>
      </c>
      <c r="AM74" s="853">
        <f t="shared" si="27"/>
        <v>270</v>
      </c>
      <c r="AN74" s="852">
        <f t="shared" si="28"/>
        <v>270</v>
      </c>
    </row>
    <row r="75" spans="1:40" s="824" customFormat="1" ht="13.5" thickBot="1" x14ac:dyDescent="0.25">
      <c r="A75" s="837">
        <v>8312001</v>
      </c>
      <c r="B75" s="854">
        <v>2001</v>
      </c>
      <c r="C75" s="855" t="s">
        <v>266</v>
      </c>
      <c r="D75" s="856" t="s">
        <v>236</v>
      </c>
      <c r="E75" s="857" t="s">
        <v>54</v>
      </c>
      <c r="F75" s="858">
        <v>54</v>
      </c>
      <c r="G75" s="859"/>
      <c r="H75" s="860">
        <v>57</v>
      </c>
      <c r="I75" s="860">
        <v>64</v>
      </c>
      <c r="J75" s="860"/>
      <c r="K75" s="860">
        <v>45</v>
      </c>
      <c r="L75" s="860">
        <v>41</v>
      </c>
      <c r="M75" s="860">
        <v>48</v>
      </c>
      <c r="N75" s="860">
        <v>44</v>
      </c>
      <c r="O75" s="860"/>
      <c r="P75" s="860">
        <v>0</v>
      </c>
      <c r="Q75" s="860">
        <v>0</v>
      </c>
      <c r="R75" s="860">
        <v>0</v>
      </c>
      <c r="S75" s="860"/>
      <c r="T75" s="860">
        <v>0</v>
      </c>
      <c r="U75" s="860">
        <v>0</v>
      </c>
      <c r="V75" s="860"/>
      <c r="W75" s="860">
        <v>0</v>
      </c>
      <c r="X75" s="860">
        <v>0</v>
      </c>
      <c r="Y75" s="861">
        <v>0</v>
      </c>
      <c r="Z75" s="862">
        <f t="shared" si="15"/>
        <v>353</v>
      </c>
      <c r="AA75" s="848">
        <f t="shared" si="20"/>
        <v>0</v>
      </c>
      <c r="AB75" s="848">
        <f t="shared" si="21"/>
        <v>0</v>
      </c>
      <c r="AC75" s="849">
        <f t="shared" si="16"/>
        <v>353</v>
      </c>
      <c r="AD75" s="863">
        <f t="shared" si="17"/>
        <v>0</v>
      </c>
      <c r="AE75" s="864">
        <f t="shared" si="18"/>
        <v>353</v>
      </c>
      <c r="AG75" s="852">
        <f t="shared" si="22"/>
        <v>54</v>
      </c>
      <c r="AH75" s="852">
        <f t="shared" si="19"/>
        <v>121</v>
      </c>
      <c r="AI75" s="852">
        <f t="shared" si="23"/>
        <v>178</v>
      </c>
      <c r="AJ75" s="852">
        <f t="shared" si="24"/>
        <v>0</v>
      </c>
      <c r="AK75" s="852">
        <f t="shared" si="25"/>
        <v>0</v>
      </c>
      <c r="AL75" s="852">
        <f t="shared" si="26"/>
        <v>0</v>
      </c>
      <c r="AM75" s="853">
        <f t="shared" si="27"/>
        <v>353</v>
      </c>
      <c r="AN75" s="852">
        <f t="shared" si="28"/>
        <v>353</v>
      </c>
    </row>
    <row r="76" spans="1:40" s="824" customFormat="1" ht="13.5" thickBot="1" x14ac:dyDescent="0.25">
      <c r="A76" s="837">
        <v>8312429</v>
      </c>
      <c r="B76" s="854">
        <v>2429</v>
      </c>
      <c r="C76" s="855" t="s">
        <v>266</v>
      </c>
      <c r="D76" s="856" t="s">
        <v>237</v>
      </c>
      <c r="E76" s="857" t="s">
        <v>55</v>
      </c>
      <c r="F76" s="858">
        <v>51</v>
      </c>
      <c r="G76" s="859"/>
      <c r="H76" s="860">
        <v>52</v>
      </c>
      <c r="I76" s="860">
        <v>47</v>
      </c>
      <c r="J76" s="860"/>
      <c r="K76" s="860">
        <v>0</v>
      </c>
      <c r="L76" s="860">
        <v>0</v>
      </c>
      <c r="M76" s="860">
        <v>0</v>
      </c>
      <c r="N76" s="860">
        <v>0</v>
      </c>
      <c r="O76" s="860"/>
      <c r="P76" s="860">
        <v>0</v>
      </c>
      <c r="Q76" s="860">
        <v>0</v>
      </c>
      <c r="R76" s="860">
        <v>0</v>
      </c>
      <c r="S76" s="860"/>
      <c r="T76" s="860">
        <v>0</v>
      </c>
      <c r="U76" s="860">
        <v>0</v>
      </c>
      <c r="V76" s="860"/>
      <c r="W76" s="860">
        <v>0</v>
      </c>
      <c r="X76" s="860">
        <v>0</v>
      </c>
      <c r="Y76" s="861">
        <v>0</v>
      </c>
      <c r="Z76" s="862">
        <f t="shared" si="15"/>
        <v>150</v>
      </c>
      <c r="AA76" s="848">
        <f t="shared" si="20"/>
        <v>0</v>
      </c>
      <c r="AB76" s="848">
        <f t="shared" si="21"/>
        <v>0</v>
      </c>
      <c r="AC76" s="849">
        <f t="shared" si="16"/>
        <v>150</v>
      </c>
      <c r="AD76" s="863">
        <f t="shared" si="17"/>
        <v>0</v>
      </c>
      <c r="AE76" s="864">
        <f t="shared" si="18"/>
        <v>150</v>
      </c>
      <c r="AG76" s="852">
        <f t="shared" si="22"/>
        <v>51</v>
      </c>
      <c r="AH76" s="852">
        <f t="shared" si="19"/>
        <v>99</v>
      </c>
      <c r="AI76" s="852">
        <f t="shared" si="23"/>
        <v>0</v>
      </c>
      <c r="AJ76" s="852">
        <f t="shared" si="24"/>
        <v>0</v>
      </c>
      <c r="AK76" s="852">
        <f t="shared" si="25"/>
        <v>0</v>
      </c>
      <c r="AL76" s="852">
        <f t="shared" si="26"/>
        <v>0</v>
      </c>
      <c r="AM76" s="853">
        <f t="shared" si="27"/>
        <v>150</v>
      </c>
      <c r="AN76" s="852">
        <f t="shared" si="28"/>
        <v>150</v>
      </c>
    </row>
    <row r="77" spans="1:40" s="824" customFormat="1" ht="13.5" thickBot="1" x14ac:dyDescent="0.25">
      <c r="A77" s="837">
        <v>8314607</v>
      </c>
      <c r="B77" s="854">
        <v>4607</v>
      </c>
      <c r="C77" s="855" t="s">
        <v>203</v>
      </c>
      <c r="D77" s="856"/>
      <c r="E77" s="857" t="s">
        <v>976</v>
      </c>
      <c r="F77" s="858">
        <v>0</v>
      </c>
      <c r="G77" s="859"/>
      <c r="H77" s="860">
        <v>0</v>
      </c>
      <c r="I77" s="860">
        <v>0</v>
      </c>
      <c r="J77" s="860"/>
      <c r="K77" s="860">
        <v>0</v>
      </c>
      <c r="L77" s="860">
        <v>0</v>
      </c>
      <c r="M77" s="860">
        <v>0</v>
      </c>
      <c r="N77" s="860">
        <v>0</v>
      </c>
      <c r="O77" s="860"/>
      <c r="P77" s="860">
        <v>224</v>
      </c>
      <c r="Q77" s="860">
        <v>229</v>
      </c>
      <c r="R77" s="860">
        <v>234</v>
      </c>
      <c r="S77" s="860"/>
      <c r="T77" s="860">
        <v>240</v>
      </c>
      <c r="U77" s="860">
        <v>238</v>
      </c>
      <c r="V77" s="860"/>
      <c r="W77" s="860">
        <v>166</v>
      </c>
      <c r="X77" s="860">
        <v>105</v>
      </c>
      <c r="Y77" s="861">
        <v>0</v>
      </c>
      <c r="Z77" s="862">
        <f t="shared" si="15"/>
        <v>0</v>
      </c>
      <c r="AA77" s="848">
        <f t="shared" si="20"/>
        <v>687</v>
      </c>
      <c r="AB77" s="848">
        <f t="shared" si="21"/>
        <v>478</v>
      </c>
      <c r="AC77" s="849">
        <f t="shared" si="16"/>
        <v>1165</v>
      </c>
      <c r="AD77" s="863">
        <f t="shared" si="17"/>
        <v>271</v>
      </c>
      <c r="AE77" s="864">
        <f t="shared" si="18"/>
        <v>1436</v>
      </c>
      <c r="AG77" s="852">
        <f t="shared" si="22"/>
        <v>0</v>
      </c>
      <c r="AH77" s="852">
        <f t="shared" si="19"/>
        <v>0</v>
      </c>
      <c r="AI77" s="852">
        <f t="shared" si="23"/>
        <v>0</v>
      </c>
      <c r="AJ77" s="852">
        <f t="shared" si="24"/>
        <v>687</v>
      </c>
      <c r="AK77" s="852">
        <f t="shared" si="25"/>
        <v>478</v>
      </c>
      <c r="AL77" s="852">
        <f t="shared" si="26"/>
        <v>271</v>
      </c>
      <c r="AM77" s="853">
        <f t="shared" si="27"/>
        <v>1165</v>
      </c>
      <c r="AN77" s="852">
        <f t="shared" si="28"/>
        <v>1436</v>
      </c>
    </row>
    <row r="78" spans="1:40" s="824" customFormat="1" ht="13.5" thickBot="1" x14ac:dyDescent="0.25">
      <c r="A78" s="837">
        <v>8312444</v>
      </c>
      <c r="B78" s="854">
        <v>2444</v>
      </c>
      <c r="C78" s="855" t="s">
        <v>266</v>
      </c>
      <c r="D78" s="856" t="s">
        <v>238</v>
      </c>
      <c r="E78" s="857" t="s">
        <v>56</v>
      </c>
      <c r="F78" s="858">
        <v>70</v>
      </c>
      <c r="G78" s="859"/>
      <c r="H78" s="860">
        <v>68</v>
      </c>
      <c r="I78" s="860">
        <v>70</v>
      </c>
      <c r="J78" s="860"/>
      <c r="K78" s="860">
        <v>0</v>
      </c>
      <c r="L78" s="860">
        <v>0</v>
      </c>
      <c r="M78" s="860">
        <v>0</v>
      </c>
      <c r="N78" s="860">
        <v>0</v>
      </c>
      <c r="O78" s="860"/>
      <c r="P78" s="860">
        <v>0</v>
      </c>
      <c r="Q78" s="860">
        <v>0</v>
      </c>
      <c r="R78" s="860">
        <v>0</v>
      </c>
      <c r="S78" s="860"/>
      <c r="T78" s="860">
        <v>0</v>
      </c>
      <c r="U78" s="860">
        <v>0</v>
      </c>
      <c r="V78" s="860"/>
      <c r="W78" s="860">
        <v>0</v>
      </c>
      <c r="X78" s="860">
        <v>0</v>
      </c>
      <c r="Y78" s="861">
        <v>0</v>
      </c>
      <c r="Z78" s="862">
        <f t="shared" si="15"/>
        <v>208</v>
      </c>
      <c r="AA78" s="848">
        <f t="shared" si="20"/>
        <v>0</v>
      </c>
      <c r="AB78" s="848">
        <f t="shared" si="21"/>
        <v>0</v>
      </c>
      <c r="AC78" s="849">
        <f t="shared" si="16"/>
        <v>208</v>
      </c>
      <c r="AD78" s="863">
        <f t="shared" si="17"/>
        <v>0</v>
      </c>
      <c r="AE78" s="864">
        <f t="shared" si="18"/>
        <v>208</v>
      </c>
      <c r="AG78" s="852">
        <f t="shared" si="22"/>
        <v>70</v>
      </c>
      <c r="AH78" s="852">
        <f t="shared" si="19"/>
        <v>138</v>
      </c>
      <c r="AI78" s="852">
        <f t="shared" si="23"/>
        <v>0</v>
      </c>
      <c r="AJ78" s="852">
        <f t="shared" si="24"/>
        <v>0</v>
      </c>
      <c r="AK78" s="852">
        <f t="shared" si="25"/>
        <v>0</v>
      </c>
      <c r="AL78" s="852">
        <f t="shared" si="26"/>
        <v>0</v>
      </c>
      <c r="AM78" s="853">
        <f t="shared" si="27"/>
        <v>208</v>
      </c>
      <c r="AN78" s="852">
        <f t="shared" si="28"/>
        <v>208</v>
      </c>
    </row>
    <row r="79" spans="1:40" s="824" customFormat="1" ht="13.5" thickBot="1" x14ac:dyDescent="0.25">
      <c r="A79" s="837">
        <v>8315209</v>
      </c>
      <c r="B79" s="854">
        <v>5209</v>
      </c>
      <c r="C79" s="855" t="s">
        <v>266</v>
      </c>
      <c r="D79" s="856" t="s">
        <v>977</v>
      </c>
      <c r="E79" s="857" t="s">
        <v>57</v>
      </c>
      <c r="F79" s="858">
        <v>0</v>
      </c>
      <c r="G79" s="859"/>
      <c r="H79" s="860">
        <v>0</v>
      </c>
      <c r="I79" s="860">
        <v>0</v>
      </c>
      <c r="J79" s="860"/>
      <c r="K79" s="860">
        <v>72</v>
      </c>
      <c r="L79" s="860">
        <v>65</v>
      </c>
      <c r="M79" s="860">
        <v>65</v>
      </c>
      <c r="N79" s="860">
        <v>72</v>
      </c>
      <c r="O79" s="860"/>
      <c r="P79" s="860">
        <v>0</v>
      </c>
      <c r="Q79" s="860">
        <v>0</v>
      </c>
      <c r="R79" s="860">
        <v>0</v>
      </c>
      <c r="S79" s="860"/>
      <c r="T79" s="860">
        <v>0</v>
      </c>
      <c r="U79" s="860">
        <v>0</v>
      </c>
      <c r="V79" s="860"/>
      <c r="W79" s="860">
        <v>0</v>
      </c>
      <c r="X79" s="860">
        <v>0</v>
      </c>
      <c r="Y79" s="861">
        <v>0</v>
      </c>
      <c r="Z79" s="862">
        <f t="shared" si="15"/>
        <v>274</v>
      </c>
      <c r="AA79" s="848">
        <f t="shared" si="20"/>
        <v>0</v>
      </c>
      <c r="AB79" s="848">
        <f t="shared" si="21"/>
        <v>0</v>
      </c>
      <c r="AC79" s="849">
        <f t="shared" si="16"/>
        <v>274</v>
      </c>
      <c r="AD79" s="863">
        <f t="shared" si="17"/>
        <v>0</v>
      </c>
      <c r="AE79" s="864">
        <f t="shared" si="18"/>
        <v>274</v>
      </c>
      <c r="AG79" s="852">
        <f t="shared" si="22"/>
        <v>0</v>
      </c>
      <c r="AH79" s="852">
        <f t="shared" si="19"/>
        <v>0</v>
      </c>
      <c r="AI79" s="852">
        <f t="shared" si="23"/>
        <v>274</v>
      </c>
      <c r="AJ79" s="852">
        <f t="shared" si="24"/>
        <v>0</v>
      </c>
      <c r="AK79" s="852">
        <f t="shared" si="25"/>
        <v>0</v>
      </c>
      <c r="AL79" s="852">
        <f t="shared" si="26"/>
        <v>0</v>
      </c>
      <c r="AM79" s="853">
        <f t="shared" si="27"/>
        <v>274</v>
      </c>
      <c r="AN79" s="852">
        <f t="shared" si="28"/>
        <v>274</v>
      </c>
    </row>
    <row r="80" spans="1:40" s="824" customFormat="1" ht="13.5" thickBot="1" x14ac:dyDescent="0.25">
      <c r="A80" s="837">
        <v>8312469</v>
      </c>
      <c r="B80" s="854">
        <v>2469</v>
      </c>
      <c r="C80" s="855" t="s">
        <v>266</v>
      </c>
      <c r="D80" s="856" t="s">
        <v>675</v>
      </c>
      <c r="E80" s="857" t="s">
        <v>58</v>
      </c>
      <c r="F80" s="858">
        <v>60</v>
      </c>
      <c r="G80" s="859"/>
      <c r="H80" s="860">
        <v>58</v>
      </c>
      <c r="I80" s="860">
        <v>59</v>
      </c>
      <c r="J80" s="860"/>
      <c r="K80" s="860">
        <v>60</v>
      </c>
      <c r="L80" s="860">
        <v>56</v>
      </c>
      <c r="M80" s="860">
        <v>59</v>
      </c>
      <c r="N80" s="860">
        <v>59</v>
      </c>
      <c r="O80" s="860"/>
      <c r="P80" s="860">
        <v>0</v>
      </c>
      <c r="Q80" s="860">
        <v>0</v>
      </c>
      <c r="R80" s="860">
        <v>0</v>
      </c>
      <c r="S80" s="860"/>
      <c r="T80" s="860">
        <v>0</v>
      </c>
      <c r="U80" s="860">
        <v>0</v>
      </c>
      <c r="V80" s="860"/>
      <c r="W80" s="860">
        <v>0</v>
      </c>
      <c r="X80" s="860">
        <v>0</v>
      </c>
      <c r="Y80" s="861">
        <v>0</v>
      </c>
      <c r="Z80" s="862">
        <f t="shared" si="15"/>
        <v>411</v>
      </c>
      <c r="AA80" s="848">
        <f t="shared" si="20"/>
        <v>0</v>
      </c>
      <c r="AB80" s="848">
        <f t="shared" si="21"/>
        <v>0</v>
      </c>
      <c r="AC80" s="849">
        <f t="shared" si="16"/>
        <v>411</v>
      </c>
      <c r="AD80" s="863">
        <f t="shared" si="17"/>
        <v>0</v>
      </c>
      <c r="AE80" s="864">
        <f t="shared" si="18"/>
        <v>411</v>
      </c>
      <c r="AG80" s="852">
        <f t="shared" si="22"/>
        <v>60</v>
      </c>
      <c r="AH80" s="852">
        <f t="shared" si="19"/>
        <v>117</v>
      </c>
      <c r="AI80" s="852">
        <f t="shared" si="23"/>
        <v>234</v>
      </c>
      <c r="AJ80" s="852">
        <f t="shared" si="24"/>
        <v>0</v>
      </c>
      <c r="AK80" s="852">
        <f t="shared" si="25"/>
        <v>0</v>
      </c>
      <c r="AL80" s="852">
        <f t="shared" si="26"/>
        <v>0</v>
      </c>
      <c r="AM80" s="853">
        <f t="shared" si="27"/>
        <v>411</v>
      </c>
      <c r="AN80" s="852">
        <f t="shared" si="28"/>
        <v>411</v>
      </c>
    </row>
    <row r="81" spans="1:40" s="824" customFormat="1" ht="13.5" thickBot="1" x14ac:dyDescent="0.25">
      <c r="A81" s="837">
        <v>8312466</v>
      </c>
      <c r="B81" s="854">
        <v>2466</v>
      </c>
      <c r="C81" s="855" t="s">
        <v>266</v>
      </c>
      <c r="D81" s="856" t="s">
        <v>676</v>
      </c>
      <c r="E81" s="857" t="s">
        <v>59</v>
      </c>
      <c r="F81" s="858">
        <v>32</v>
      </c>
      <c r="G81" s="859"/>
      <c r="H81" s="860">
        <v>28</v>
      </c>
      <c r="I81" s="860">
        <v>31</v>
      </c>
      <c r="J81" s="860"/>
      <c r="K81" s="860">
        <v>33</v>
      </c>
      <c r="L81" s="860">
        <v>33</v>
      </c>
      <c r="M81" s="860">
        <v>18</v>
      </c>
      <c r="N81" s="860">
        <v>30</v>
      </c>
      <c r="O81" s="860"/>
      <c r="P81" s="860">
        <v>0</v>
      </c>
      <c r="Q81" s="860">
        <v>0</v>
      </c>
      <c r="R81" s="860">
        <v>0</v>
      </c>
      <c r="S81" s="860"/>
      <c r="T81" s="860">
        <v>0</v>
      </c>
      <c r="U81" s="860">
        <v>0</v>
      </c>
      <c r="V81" s="860"/>
      <c r="W81" s="860">
        <v>0</v>
      </c>
      <c r="X81" s="860">
        <v>0</v>
      </c>
      <c r="Y81" s="861">
        <v>0</v>
      </c>
      <c r="Z81" s="862">
        <f t="shared" si="15"/>
        <v>205</v>
      </c>
      <c r="AA81" s="848">
        <f t="shared" si="20"/>
        <v>0</v>
      </c>
      <c r="AB81" s="848">
        <f t="shared" si="21"/>
        <v>0</v>
      </c>
      <c r="AC81" s="849">
        <f t="shared" si="16"/>
        <v>205</v>
      </c>
      <c r="AD81" s="863">
        <f t="shared" si="17"/>
        <v>0</v>
      </c>
      <c r="AE81" s="864">
        <f t="shared" si="18"/>
        <v>205</v>
      </c>
      <c r="AG81" s="852">
        <f t="shared" si="22"/>
        <v>32</v>
      </c>
      <c r="AH81" s="852">
        <f t="shared" si="19"/>
        <v>59</v>
      </c>
      <c r="AI81" s="852">
        <f t="shared" si="23"/>
        <v>114</v>
      </c>
      <c r="AJ81" s="852">
        <f t="shared" si="24"/>
        <v>0</v>
      </c>
      <c r="AK81" s="852">
        <f t="shared" si="25"/>
        <v>0</v>
      </c>
      <c r="AL81" s="852">
        <f t="shared" si="26"/>
        <v>0</v>
      </c>
      <c r="AM81" s="853">
        <f t="shared" si="27"/>
        <v>205</v>
      </c>
      <c r="AN81" s="852">
        <f t="shared" si="28"/>
        <v>205</v>
      </c>
    </row>
    <row r="82" spans="1:40" s="824" customFormat="1" ht="13.5" thickBot="1" x14ac:dyDescent="0.25">
      <c r="A82" s="837">
        <v>8313543</v>
      </c>
      <c r="B82" s="854">
        <v>3543</v>
      </c>
      <c r="C82" s="855" t="s">
        <v>266</v>
      </c>
      <c r="D82" s="856" t="s">
        <v>240</v>
      </c>
      <c r="E82" s="857" t="s">
        <v>60</v>
      </c>
      <c r="F82" s="858">
        <v>45</v>
      </c>
      <c r="G82" s="859"/>
      <c r="H82" s="860">
        <v>45</v>
      </c>
      <c r="I82" s="860">
        <v>44</v>
      </c>
      <c r="J82" s="860"/>
      <c r="K82" s="860">
        <v>42</v>
      </c>
      <c r="L82" s="860">
        <v>46</v>
      </c>
      <c r="M82" s="860">
        <v>44</v>
      </c>
      <c r="N82" s="860">
        <v>35</v>
      </c>
      <c r="O82" s="860"/>
      <c r="P82" s="860">
        <v>0</v>
      </c>
      <c r="Q82" s="860">
        <v>0</v>
      </c>
      <c r="R82" s="860">
        <v>0</v>
      </c>
      <c r="S82" s="860"/>
      <c r="T82" s="860">
        <v>0</v>
      </c>
      <c r="U82" s="860">
        <v>0</v>
      </c>
      <c r="V82" s="860"/>
      <c r="W82" s="860">
        <v>0</v>
      </c>
      <c r="X82" s="860">
        <v>0</v>
      </c>
      <c r="Y82" s="861">
        <v>0</v>
      </c>
      <c r="Z82" s="862">
        <f t="shared" si="15"/>
        <v>301</v>
      </c>
      <c r="AA82" s="848">
        <f t="shared" si="20"/>
        <v>0</v>
      </c>
      <c r="AB82" s="848">
        <f t="shared" si="21"/>
        <v>0</v>
      </c>
      <c r="AC82" s="849">
        <f t="shared" si="16"/>
        <v>301</v>
      </c>
      <c r="AD82" s="863">
        <f t="shared" si="17"/>
        <v>0</v>
      </c>
      <c r="AE82" s="864">
        <f t="shared" si="18"/>
        <v>301</v>
      </c>
      <c r="AG82" s="852">
        <f t="shared" si="22"/>
        <v>45</v>
      </c>
      <c r="AH82" s="852">
        <f t="shared" si="19"/>
        <v>89</v>
      </c>
      <c r="AI82" s="852">
        <f t="shared" si="23"/>
        <v>167</v>
      </c>
      <c r="AJ82" s="852">
        <f t="shared" si="24"/>
        <v>0</v>
      </c>
      <c r="AK82" s="852">
        <f t="shared" si="25"/>
        <v>0</v>
      </c>
      <c r="AL82" s="852">
        <f t="shared" si="26"/>
        <v>0</v>
      </c>
      <c r="AM82" s="853">
        <f t="shared" si="27"/>
        <v>301</v>
      </c>
      <c r="AN82" s="852">
        <f t="shared" si="28"/>
        <v>301</v>
      </c>
    </row>
    <row r="83" spans="1:40" s="824" customFormat="1" ht="13.5" thickBot="1" x14ac:dyDescent="0.25">
      <c r="A83" s="837">
        <v>8317027</v>
      </c>
      <c r="B83" s="854">
        <v>7027</v>
      </c>
      <c r="C83" s="874" t="s">
        <v>661</v>
      </c>
      <c r="D83" s="856" t="s">
        <v>523</v>
      </c>
      <c r="E83" s="857" t="s">
        <v>522</v>
      </c>
      <c r="F83" s="858">
        <v>0</v>
      </c>
      <c r="G83" s="859"/>
      <c r="H83" s="860">
        <v>0</v>
      </c>
      <c r="I83" s="860">
        <v>0</v>
      </c>
      <c r="J83" s="860"/>
      <c r="K83" s="860">
        <v>0</v>
      </c>
      <c r="L83" s="860">
        <v>0</v>
      </c>
      <c r="M83" s="860">
        <v>0</v>
      </c>
      <c r="N83" s="860">
        <v>0</v>
      </c>
      <c r="O83" s="860"/>
      <c r="P83" s="860">
        <v>13</v>
      </c>
      <c r="Q83" s="860">
        <v>13</v>
      </c>
      <c r="R83" s="860">
        <v>14</v>
      </c>
      <c r="S83" s="860"/>
      <c r="T83" s="860">
        <v>11</v>
      </c>
      <c r="U83" s="860">
        <v>12</v>
      </c>
      <c r="V83" s="860"/>
      <c r="W83" s="860">
        <v>15</v>
      </c>
      <c r="X83" s="860">
        <v>12</v>
      </c>
      <c r="Y83" s="861">
        <v>11</v>
      </c>
      <c r="Z83" s="862">
        <f t="shared" si="15"/>
        <v>0</v>
      </c>
      <c r="AA83" s="848">
        <f t="shared" si="20"/>
        <v>40</v>
      </c>
      <c r="AB83" s="848">
        <f t="shared" si="21"/>
        <v>23</v>
      </c>
      <c r="AC83" s="849">
        <f t="shared" si="16"/>
        <v>63</v>
      </c>
      <c r="AD83" s="863">
        <f t="shared" si="17"/>
        <v>38</v>
      </c>
      <c r="AE83" s="864">
        <f t="shared" si="18"/>
        <v>101</v>
      </c>
      <c r="AG83" s="852">
        <f t="shared" si="22"/>
        <v>0</v>
      </c>
      <c r="AH83" s="852">
        <f t="shared" si="19"/>
        <v>0</v>
      </c>
      <c r="AI83" s="852">
        <f t="shared" si="23"/>
        <v>0</v>
      </c>
      <c r="AJ83" s="852">
        <f t="shared" si="24"/>
        <v>40</v>
      </c>
      <c r="AK83" s="852">
        <f t="shared" si="25"/>
        <v>23</v>
      </c>
      <c r="AL83" s="852">
        <f t="shared" si="26"/>
        <v>38</v>
      </c>
      <c r="AM83" s="853">
        <f t="shared" si="27"/>
        <v>63</v>
      </c>
      <c r="AN83" s="852">
        <f t="shared" si="28"/>
        <v>101</v>
      </c>
    </row>
    <row r="84" spans="1:40" s="824" customFormat="1" ht="13.5" thickBot="1" x14ac:dyDescent="0.25">
      <c r="A84" s="837">
        <v>8313158</v>
      </c>
      <c r="B84" s="854">
        <v>3158</v>
      </c>
      <c r="C84" s="855" t="s">
        <v>266</v>
      </c>
      <c r="D84" s="856" t="s">
        <v>241</v>
      </c>
      <c r="E84" s="857" t="s">
        <v>61</v>
      </c>
      <c r="F84" s="858">
        <v>40</v>
      </c>
      <c r="G84" s="859"/>
      <c r="H84" s="860">
        <v>40</v>
      </c>
      <c r="I84" s="860">
        <v>40</v>
      </c>
      <c r="J84" s="860"/>
      <c r="K84" s="860">
        <v>0</v>
      </c>
      <c r="L84" s="860">
        <v>0</v>
      </c>
      <c r="M84" s="860">
        <v>0</v>
      </c>
      <c r="N84" s="860">
        <v>0</v>
      </c>
      <c r="O84" s="860"/>
      <c r="P84" s="860">
        <v>0</v>
      </c>
      <c r="Q84" s="860">
        <v>0</v>
      </c>
      <c r="R84" s="860">
        <v>0</v>
      </c>
      <c r="S84" s="860"/>
      <c r="T84" s="860">
        <v>0</v>
      </c>
      <c r="U84" s="860">
        <v>0</v>
      </c>
      <c r="V84" s="860"/>
      <c r="W84" s="860">
        <v>0</v>
      </c>
      <c r="X84" s="860">
        <v>0</v>
      </c>
      <c r="Y84" s="861">
        <v>0</v>
      </c>
      <c r="Z84" s="862">
        <f t="shared" si="15"/>
        <v>120</v>
      </c>
      <c r="AA84" s="848">
        <f t="shared" si="20"/>
        <v>0</v>
      </c>
      <c r="AB84" s="848">
        <f t="shared" si="21"/>
        <v>0</v>
      </c>
      <c r="AC84" s="849">
        <f t="shared" si="16"/>
        <v>120</v>
      </c>
      <c r="AD84" s="863">
        <f t="shared" si="17"/>
        <v>0</v>
      </c>
      <c r="AE84" s="864">
        <f t="shared" si="18"/>
        <v>120</v>
      </c>
      <c r="AG84" s="852">
        <f t="shared" si="22"/>
        <v>40</v>
      </c>
      <c r="AH84" s="852">
        <f t="shared" si="19"/>
        <v>80</v>
      </c>
      <c r="AI84" s="852">
        <f t="shared" si="23"/>
        <v>0</v>
      </c>
      <c r="AJ84" s="852">
        <f t="shared" si="24"/>
        <v>0</v>
      </c>
      <c r="AK84" s="852">
        <f t="shared" si="25"/>
        <v>0</v>
      </c>
      <c r="AL84" s="852">
        <f t="shared" si="26"/>
        <v>0</v>
      </c>
      <c r="AM84" s="853">
        <f t="shared" si="27"/>
        <v>120</v>
      </c>
      <c r="AN84" s="852">
        <f t="shared" si="28"/>
        <v>120</v>
      </c>
    </row>
    <row r="85" spans="1:40" s="824" customFormat="1" ht="13.5" thickBot="1" x14ac:dyDescent="0.25">
      <c r="A85" s="837">
        <v>8317025</v>
      </c>
      <c r="B85" s="854">
        <v>7025</v>
      </c>
      <c r="C85" s="874" t="s">
        <v>661</v>
      </c>
      <c r="D85" s="856" t="s">
        <v>525</v>
      </c>
      <c r="E85" s="857" t="s">
        <v>524</v>
      </c>
      <c r="F85" s="858">
        <v>0</v>
      </c>
      <c r="G85" s="859"/>
      <c r="H85" s="860">
        <v>0</v>
      </c>
      <c r="I85" s="860">
        <v>0</v>
      </c>
      <c r="J85" s="860"/>
      <c r="K85" s="860">
        <v>0</v>
      </c>
      <c r="L85" s="860">
        <v>0</v>
      </c>
      <c r="M85" s="860">
        <v>0</v>
      </c>
      <c r="N85" s="860">
        <v>0</v>
      </c>
      <c r="O85" s="860"/>
      <c r="P85" s="860">
        <v>10</v>
      </c>
      <c r="Q85" s="860">
        <v>19</v>
      </c>
      <c r="R85" s="860">
        <v>11</v>
      </c>
      <c r="S85" s="860"/>
      <c r="T85" s="860">
        <v>25</v>
      </c>
      <c r="U85" s="860">
        <v>24</v>
      </c>
      <c r="V85" s="860"/>
      <c r="W85" s="860">
        <v>0</v>
      </c>
      <c r="X85" s="860">
        <v>0</v>
      </c>
      <c r="Y85" s="861">
        <v>0</v>
      </c>
      <c r="Z85" s="862">
        <f t="shared" si="15"/>
        <v>0</v>
      </c>
      <c r="AA85" s="848">
        <f t="shared" si="20"/>
        <v>40</v>
      </c>
      <c r="AB85" s="848">
        <f t="shared" si="21"/>
        <v>49</v>
      </c>
      <c r="AC85" s="849">
        <f t="shared" si="16"/>
        <v>89</v>
      </c>
      <c r="AD85" s="863">
        <f t="shared" si="17"/>
        <v>0</v>
      </c>
      <c r="AE85" s="864">
        <f t="shared" si="18"/>
        <v>89</v>
      </c>
      <c r="AG85" s="852">
        <f t="shared" si="22"/>
        <v>0</v>
      </c>
      <c r="AH85" s="852">
        <f t="shared" si="19"/>
        <v>0</v>
      </c>
      <c r="AI85" s="852">
        <f t="shared" si="23"/>
        <v>0</v>
      </c>
      <c r="AJ85" s="852">
        <f t="shared" si="24"/>
        <v>40</v>
      </c>
      <c r="AK85" s="852">
        <f t="shared" si="25"/>
        <v>49</v>
      </c>
      <c r="AL85" s="852">
        <f t="shared" si="26"/>
        <v>0</v>
      </c>
      <c r="AM85" s="853">
        <f t="shared" si="27"/>
        <v>89</v>
      </c>
      <c r="AN85" s="852">
        <f t="shared" si="28"/>
        <v>89</v>
      </c>
    </row>
    <row r="86" spans="1:40" s="824" customFormat="1" ht="13.5" thickBot="1" x14ac:dyDescent="0.25">
      <c r="A86" s="837">
        <v>8313531</v>
      </c>
      <c r="B86" s="854">
        <v>3531</v>
      </c>
      <c r="C86" s="855" t="s">
        <v>266</v>
      </c>
      <c r="D86" s="856" t="s">
        <v>978</v>
      </c>
      <c r="E86" s="857" t="s">
        <v>62</v>
      </c>
      <c r="F86" s="858">
        <v>50</v>
      </c>
      <c r="G86" s="865"/>
      <c r="H86" s="860">
        <v>50</v>
      </c>
      <c r="I86" s="860">
        <v>51</v>
      </c>
      <c r="J86" s="866"/>
      <c r="K86" s="860">
        <v>52</v>
      </c>
      <c r="L86" s="860">
        <v>49</v>
      </c>
      <c r="M86" s="860">
        <v>51</v>
      </c>
      <c r="N86" s="860">
        <v>49</v>
      </c>
      <c r="O86" s="866"/>
      <c r="P86" s="866">
        <v>0</v>
      </c>
      <c r="Q86" s="866">
        <v>0</v>
      </c>
      <c r="R86" s="866">
        <v>0</v>
      </c>
      <c r="S86" s="866"/>
      <c r="T86" s="866">
        <v>0</v>
      </c>
      <c r="U86" s="866">
        <v>0</v>
      </c>
      <c r="V86" s="866"/>
      <c r="W86" s="866">
        <v>0</v>
      </c>
      <c r="X86" s="866">
        <v>0</v>
      </c>
      <c r="Y86" s="867">
        <v>0</v>
      </c>
      <c r="Z86" s="862">
        <f t="shared" si="15"/>
        <v>352</v>
      </c>
      <c r="AA86" s="848">
        <f t="shared" si="20"/>
        <v>0</v>
      </c>
      <c r="AB86" s="848">
        <f t="shared" si="21"/>
        <v>0</v>
      </c>
      <c r="AC86" s="849">
        <f t="shared" si="16"/>
        <v>352</v>
      </c>
      <c r="AD86" s="868">
        <f t="shared" si="17"/>
        <v>0</v>
      </c>
      <c r="AE86" s="864">
        <f t="shared" si="18"/>
        <v>352</v>
      </c>
      <c r="AG86" s="852">
        <f t="shared" si="22"/>
        <v>50</v>
      </c>
      <c r="AH86" s="852">
        <f t="shared" si="19"/>
        <v>101</v>
      </c>
      <c r="AI86" s="852">
        <f t="shared" si="23"/>
        <v>201</v>
      </c>
      <c r="AJ86" s="852">
        <f t="shared" si="24"/>
        <v>0</v>
      </c>
      <c r="AK86" s="852">
        <f t="shared" si="25"/>
        <v>0</v>
      </c>
      <c r="AL86" s="852">
        <f t="shared" si="26"/>
        <v>0</v>
      </c>
      <c r="AM86" s="853">
        <f t="shared" si="27"/>
        <v>352</v>
      </c>
      <c r="AN86" s="852">
        <f t="shared" si="28"/>
        <v>352</v>
      </c>
    </row>
    <row r="87" spans="1:40" s="824" customFormat="1" ht="13.5" thickBot="1" x14ac:dyDescent="0.25">
      <c r="A87" s="837">
        <v>8317024</v>
      </c>
      <c r="B87" s="854">
        <v>7024</v>
      </c>
      <c r="C87" s="874" t="s">
        <v>661</v>
      </c>
      <c r="D87" s="856" t="s">
        <v>527</v>
      </c>
      <c r="E87" s="857" t="s">
        <v>526</v>
      </c>
      <c r="F87" s="858">
        <v>9</v>
      </c>
      <c r="G87" s="859"/>
      <c r="H87" s="860">
        <v>11</v>
      </c>
      <c r="I87" s="860">
        <v>8</v>
      </c>
      <c r="J87" s="860"/>
      <c r="K87" s="860">
        <v>21</v>
      </c>
      <c r="L87" s="860">
        <v>21</v>
      </c>
      <c r="M87" s="860">
        <v>21</v>
      </c>
      <c r="N87" s="860">
        <v>16</v>
      </c>
      <c r="O87" s="860"/>
      <c r="P87" s="860">
        <v>0</v>
      </c>
      <c r="Q87" s="860">
        <v>0</v>
      </c>
      <c r="R87" s="860">
        <v>0</v>
      </c>
      <c r="S87" s="860"/>
      <c r="T87" s="860">
        <v>0</v>
      </c>
      <c r="U87" s="860">
        <v>0</v>
      </c>
      <c r="V87" s="860"/>
      <c r="W87" s="860">
        <v>0</v>
      </c>
      <c r="X87" s="860">
        <v>0</v>
      </c>
      <c r="Y87" s="861">
        <v>0</v>
      </c>
      <c r="Z87" s="862">
        <f t="shared" si="15"/>
        <v>107</v>
      </c>
      <c r="AA87" s="848">
        <f t="shared" si="20"/>
        <v>0</v>
      </c>
      <c r="AB87" s="848">
        <f t="shared" si="21"/>
        <v>0</v>
      </c>
      <c r="AC87" s="849">
        <f t="shared" si="16"/>
        <v>107</v>
      </c>
      <c r="AD87" s="863">
        <f t="shared" si="17"/>
        <v>0</v>
      </c>
      <c r="AE87" s="864">
        <f t="shared" si="18"/>
        <v>107</v>
      </c>
      <c r="AG87" s="852">
        <f t="shared" si="22"/>
        <v>9</v>
      </c>
      <c r="AH87" s="852">
        <f t="shared" si="19"/>
        <v>19</v>
      </c>
      <c r="AI87" s="852">
        <f t="shared" si="23"/>
        <v>79</v>
      </c>
      <c r="AJ87" s="852">
        <f t="shared" si="24"/>
        <v>0</v>
      </c>
      <c r="AK87" s="852">
        <f t="shared" si="25"/>
        <v>0</v>
      </c>
      <c r="AL87" s="852">
        <f t="shared" si="26"/>
        <v>0</v>
      </c>
      <c r="AM87" s="853">
        <f t="shared" si="27"/>
        <v>107</v>
      </c>
      <c r="AN87" s="852">
        <f t="shared" si="28"/>
        <v>107</v>
      </c>
    </row>
    <row r="88" spans="1:40" s="824" customFormat="1" ht="13.5" thickBot="1" x14ac:dyDescent="0.25">
      <c r="A88" s="837">
        <v>8313526</v>
      </c>
      <c r="B88" s="854">
        <v>3526</v>
      </c>
      <c r="C88" s="855" t="s">
        <v>266</v>
      </c>
      <c r="D88" s="856" t="s">
        <v>242</v>
      </c>
      <c r="E88" s="857" t="s">
        <v>63</v>
      </c>
      <c r="F88" s="858">
        <v>30</v>
      </c>
      <c r="G88" s="859"/>
      <c r="H88" s="860">
        <v>26</v>
      </c>
      <c r="I88" s="860">
        <v>29</v>
      </c>
      <c r="J88" s="860"/>
      <c r="K88" s="860">
        <v>0</v>
      </c>
      <c r="L88" s="860">
        <v>0</v>
      </c>
      <c r="M88" s="860">
        <v>0</v>
      </c>
      <c r="N88" s="860">
        <v>0</v>
      </c>
      <c r="O88" s="860"/>
      <c r="P88" s="860">
        <v>0</v>
      </c>
      <c r="Q88" s="860">
        <v>0</v>
      </c>
      <c r="R88" s="860">
        <v>0</v>
      </c>
      <c r="S88" s="860"/>
      <c r="T88" s="860">
        <v>0</v>
      </c>
      <c r="U88" s="860">
        <v>0</v>
      </c>
      <c r="V88" s="860"/>
      <c r="W88" s="860">
        <v>0</v>
      </c>
      <c r="X88" s="860">
        <v>0</v>
      </c>
      <c r="Y88" s="861">
        <v>0</v>
      </c>
      <c r="Z88" s="862">
        <f t="shared" si="15"/>
        <v>85</v>
      </c>
      <c r="AA88" s="848">
        <f t="shared" si="20"/>
        <v>0</v>
      </c>
      <c r="AB88" s="848">
        <f t="shared" si="21"/>
        <v>0</v>
      </c>
      <c r="AC88" s="849">
        <f t="shared" si="16"/>
        <v>85</v>
      </c>
      <c r="AD88" s="863">
        <f t="shared" si="17"/>
        <v>0</v>
      </c>
      <c r="AE88" s="864">
        <f t="shared" si="18"/>
        <v>85</v>
      </c>
      <c r="AG88" s="852">
        <f t="shared" si="22"/>
        <v>30</v>
      </c>
      <c r="AH88" s="852">
        <f t="shared" si="19"/>
        <v>55</v>
      </c>
      <c r="AI88" s="852">
        <f t="shared" si="23"/>
        <v>0</v>
      </c>
      <c r="AJ88" s="852">
        <f t="shared" si="24"/>
        <v>0</v>
      </c>
      <c r="AK88" s="852">
        <f t="shared" si="25"/>
        <v>0</v>
      </c>
      <c r="AL88" s="852">
        <f t="shared" si="26"/>
        <v>0</v>
      </c>
      <c r="AM88" s="853">
        <f t="shared" si="27"/>
        <v>85</v>
      </c>
      <c r="AN88" s="852">
        <f t="shared" si="28"/>
        <v>85</v>
      </c>
    </row>
    <row r="89" spans="1:40" s="824" customFormat="1" ht="13.5" thickBot="1" x14ac:dyDescent="0.25">
      <c r="A89" s="837">
        <v>8313535</v>
      </c>
      <c r="B89" s="854">
        <v>3535</v>
      </c>
      <c r="C89" s="855" t="s">
        <v>266</v>
      </c>
      <c r="D89" s="856" t="s">
        <v>677</v>
      </c>
      <c r="E89" s="857" t="s">
        <v>979</v>
      </c>
      <c r="F89" s="858">
        <v>0</v>
      </c>
      <c r="G89" s="859"/>
      <c r="H89" s="860">
        <v>0</v>
      </c>
      <c r="I89" s="860">
        <v>0</v>
      </c>
      <c r="J89" s="860"/>
      <c r="K89" s="860">
        <v>75</v>
      </c>
      <c r="L89" s="860">
        <v>75</v>
      </c>
      <c r="M89" s="860">
        <v>74</v>
      </c>
      <c r="N89" s="860">
        <v>74</v>
      </c>
      <c r="O89" s="860">
        <v>-1</v>
      </c>
      <c r="P89" s="860">
        <v>0</v>
      </c>
      <c r="Q89" s="860">
        <v>0</v>
      </c>
      <c r="R89" s="860">
        <v>0</v>
      </c>
      <c r="S89" s="860"/>
      <c r="T89" s="860">
        <v>0</v>
      </c>
      <c r="U89" s="860">
        <v>0</v>
      </c>
      <c r="V89" s="860"/>
      <c r="W89" s="860">
        <v>0</v>
      </c>
      <c r="X89" s="860">
        <v>0</v>
      </c>
      <c r="Y89" s="861">
        <v>0</v>
      </c>
      <c r="Z89" s="862">
        <f t="shared" si="15"/>
        <v>297</v>
      </c>
      <c r="AA89" s="848">
        <f t="shared" si="20"/>
        <v>0</v>
      </c>
      <c r="AB89" s="848">
        <f t="shared" si="21"/>
        <v>0</v>
      </c>
      <c r="AC89" s="849">
        <f t="shared" si="16"/>
        <v>297</v>
      </c>
      <c r="AD89" s="863">
        <f t="shared" si="17"/>
        <v>0</v>
      </c>
      <c r="AE89" s="864">
        <f t="shared" si="18"/>
        <v>297</v>
      </c>
      <c r="AG89" s="852">
        <f t="shared" si="22"/>
        <v>0</v>
      </c>
      <c r="AH89" s="852">
        <f t="shared" si="19"/>
        <v>0</v>
      </c>
      <c r="AI89" s="852">
        <f t="shared" si="23"/>
        <v>297</v>
      </c>
      <c r="AJ89" s="852">
        <f t="shared" si="24"/>
        <v>0</v>
      </c>
      <c r="AK89" s="852">
        <f t="shared" si="25"/>
        <v>0</v>
      </c>
      <c r="AL89" s="852">
        <f t="shared" si="26"/>
        <v>0</v>
      </c>
      <c r="AM89" s="853">
        <f t="shared" si="27"/>
        <v>297</v>
      </c>
      <c r="AN89" s="852">
        <f t="shared" si="28"/>
        <v>297</v>
      </c>
    </row>
    <row r="90" spans="1:40" s="824" customFormat="1" ht="13.5" thickBot="1" x14ac:dyDescent="0.25">
      <c r="A90" s="837">
        <v>8312008</v>
      </c>
      <c r="B90" s="854">
        <v>2008</v>
      </c>
      <c r="C90" s="855" t="s">
        <v>266</v>
      </c>
      <c r="D90" s="856" t="s">
        <v>980</v>
      </c>
      <c r="E90" s="857" t="s">
        <v>64</v>
      </c>
      <c r="F90" s="858">
        <v>30</v>
      </c>
      <c r="G90" s="859"/>
      <c r="H90" s="860">
        <v>30</v>
      </c>
      <c r="I90" s="860">
        <v>30</v>
      </c>
      <c r="J90" s="860"/>
      <c r="K90" s="860">
        <v>35</v>
      </c>
      <c r="L90" s="860">
        <v>35</v>
      </c>
      <c r="M90" s="860">
        <v>35</v>
      </c>
      <c r="N90" s="860">
        <v>33</v>
      </c>
      <c r="O90" s="860"/>
      <c r="P90" s="860">
        <v>0</v>
      </c>
      <c r="Q90" s="860">
        <v>0</v>
      </c>
      <c r="R90" s="860">
        <v>0</v>
      </c>
      <c r="S90" s="860"/>
      <c r="T90" s="860">
        <v>0</v>
      </c>
      <c r="U90" s="860">
        <v>0</v>
      </c>
      <c r="V90" s="860"/>
      <c r="W90" s="860">
        <v>0</v>
      </c>
      <c r="X90" s="860">
        <v>0</v>
      </c>
      <c r="Y90" s="861">
        <v>0</v>
      </c>
      <c r="Z90" s="862">
        <f t="shared" si="15"/>
        <v>228</v>
      </c>
      <c r="AA90" s="848">
        <f t="shared" si="20"/>
        <v>0</v>
      </c>
      <c r="AB90" s="848">
        <f t="shared" si="21"/>
        <v>0</v>
      </c>
      <c r="AC90" s="849">
        <f t="shared" si="16"/>
        <v>228</v>
      </c>
      <c r="AD90" s="863">
        <f t="shared" si="17"/>
        <v>0</v>
      </c>
      <c r="AE90" s="864">
        <f t="shared" si="18"/>
        <v>228</v>
      </c>
      <c r="AG90" s="852">
        <f t="shared" si="22"/>
        <v>30</v>
      </c>
      <c r="AH90" s="852">
        <f t="shared" si="19"/>
        <v>60</v>
      </c>
      <c r="AI90" s="852">
        <f t="shared" si="23"/>
        <v>138</v>
      </c>
      <c r="AJ90" s="852">
        <f t="shared" si="24"/>
        <v>0</v>
      </c>
      <c r="AK90" s="852">
        <f t="shared" si="25"/>
        <v>0</v>
      </c>
      <c r="AL90" s="852">
        <f t="shared" si="26"/>
        <v>0</v>
      </c>
      <c r="AM90" s="853">
        <f t="shared" si="27"/>
        <v>228</v>
      </c>
      <c r="AN90" s="852">
        <f t="shared" si="28"/>
        <v>228</v>
      </c>
    </row>
    <row r="91" spans="1:40" s="824" customFormat="1" ht="13.5" thickBot="1" x14ac:dyDescent="0.25">
      <c r="A91" s="837">
        <v>8313542</v>
      </c>
      <c r="B91" s="854">
        <v>3542</v>
      </c>
      <c r="C91" s="855" t="s">
        <v>266</v>
      </c>
      <c r="D91" s="856" t="s">
        <v>678</v>
      </c>
      <c r="E91" s="857" t="s">
        <v>679</v>
      </c>
      <c r="F91" s="858">
        <v>50</v>
      </c>
      <c r="G91" s="859"/>
      <c r="H91" s="860">
        <v>54</v>
      </c>
      <c r="I91" s="860">
        <v>51</v>
      </c>
      <c r="J91" s="860"/>
      <c r="K91" s="860">
        <v>46</v>
      </c>
      <c r="L91" s="860">
        <v>51</v>
      </c>
      <c r="M91" s="860">
        <v>47</v>
      </c>
      <c r="N91" s="860">
        <v>52</v>
      </c>
      <c r="O91" s="860"/>
      <c r="P91" s="860">
        <v>0</v>
      </c>
      <c r="Q91" s="860">
        <v>0</v>
      </c>
      <c r="R91" s="860">
        <v>0</v>
      </c>
      <c r="S91" s="860"/>
      <c r="T91" s="860">
        <v>0</v>
      </c>
      <c r="U91" s="860">
        <v>0</v>
      </c>
      <c r="V91" s="860"/>
      <c r="W91" s="860">
        <v>0</v>
      </c>
      <c r="X91" s="860">
        <v>0</v>
      </c>
      <c r="Y91" s="861">
        <v>0</v>
      </c>
      <c r="Z91" s="862">
        <f t="shared" si="15"/>
        <v>351</v>
      </c>
      <c r="AA91" s="848">
        <f t="shared" si="20"/>
        <v>0</v>
      </c>
      <c r="AB91" s="848">
        <f t="shared" si="21"/>
        <v>0</v>
      </c>
      <c r="AC91" s="849">
        <f t="shared" si="16"/>
        <v>351</v>
      </c>
      <c r="AD91" s="863">
        <f t="shared" si="17"/>
        <v>0</v>
      </c>
      <c r="AE91" s="864">
        <f t="shared" si="18"/>
        <v>351</v>
      </c>
      <c r="AG91" s="852">
        <f t="shared" si="22"/>
        <v>50</v>
      </c>
      <c r="AH91" s="852">
        <f t="shared" si="19"/>
        <v>105</v>
      </c>
      <c r="AI91" s="852">
        <f t="shared" si="23"/>
        <v>196</v>
      </c>
      <c r="AJ91" s="852">
        <f t="shared" si="24"/>
        <v>0</v>
      </c>
      <c r="AK91" s="852">
        <f t="shared" si="25"/>
        <v>0</v>
      </c>
      <c r="AL91" s="852">
        <f t="shared" si="26"/>
        <v>0</v>
      </c>
      <c r="AM91" s="853">
        <f t="shared" si="27"/>
        <v>351</v>
      </c>
      <c r="AN91" s="852">
        <f t="shared" si="28"/>
        <v>351</v>
      </c>
    </row>
    <row r="92" spans="1:40" s="824" customFormat="1" ht="13.5" thickBot="1" x14ac:dyDescent="0.25">
      <c r="A92" s="837">
        <v>8317021</v>
      </c>
      <c r="B92" s="854">
        <v>7021</v>
      </c>
      <c r="C92" s="874" t="s">
        <v>661</v>
      </c>
      <c r="D92" s="856" t="s">
        <v>528</v>
      </c>
      <c r="E92" s="857" t="s">
        <v>981</v>
      </c>
      <c r="F92" s="858">
        <v>0</v>
      </c>
      <c r="G92" s="859"/>
      <c r="H92" s="860">
        <v>0</v>
      </c>
      <c r="I92" s="860">
        <v>0</v>
      </c>
      <c r="J92" s="860"/>
      <c r="K92" s="860">
        <v>0</v>
      </c>
      <c r="L92" s="860">
        <v>0</v>
      </c>
      <c r="M92" s="860">
        <v>0</v>
      </c>
      <c r="N92" s="860">
        <v>0</v>
      </c>
      <c r="O92" s="860"/>
      <c r="P92" s="860">
        <v>21</v>
      </c>
      <c r="Q92" s="860">
        <v>19</v>
      </c>
      <c r="R92" s="860">
        <v>19</v>
      </c>
      <c r="S92" s="860"/>
      <c r="T92" s="860">
        <v>22</v>
      </c>
      <c r="U92" s="860">
        <v>18</v>
      </c>
      <c r="V92" s="860"/>
      <c r="W92" s="860">
        <v>14</v>
      </c>
      <c r="X92" s="860">
        <v>11</v>
      </c>
      <c r="Y92" s="861">
        <v>4</v>
      </c>
      <c r="Z92" s="862">
        <f t="shared" si="15"/>
        <v>0</v>
      </c>
      <c r="AA92" s="848">
        <f t="shared" si="20"/>
        <v>59</v>
      </c>
      <c r="AB92" s="848">
        <f t="shared" si="21"/>
        <v>40</v>
      </c>
      <c r="AC92" s="849">
        <f t="shared" si="16"/>
        <v>99</v>
      </c>
      <c r="AD92" s="863">
        <f t="shared" si="17"/>
        <v>29</v>
      </c>
      <c r="AE92" s="864">
        <f t="shared" si="18"/>
        <v>128</v>
      </c>
      <c r="AG92" s="852">
        <f t="shared" si="22"/>
        <v>0</v>
      </c>
      <c r="AH92" s="852">
        <f t="shared" si="19"/>
        <v>0</v>
      </c>
      <c r="AI92" s="852">
        <f t="shared" si="23"/>
        <v>0</v>
      </c>
      <c r="AJ92" s="852">
        <f t="shared" si="24"/>
        <v>59</v>
      </c>
      <c r="AK92" s="852">
        <f t="shared" si="25"/>
        <v>40</v>
      </c>
      <c r="AL92" s="852">
        <f t="shared" si="26"/>
        <v>29</v>
      </c>
      <c r="AM92" s="853">
        <f t="shared" si="27"/>
        <v>99</v>
      </c>
      <c r="AN92" s="852">
        <f t="shared" si="28"/>
        <v>128</v>
      </c>
    </row>
    <row r="93" spans="1:40" s="824" customFormat="1" ht="13.5" thickBot="1" x14ac:dyDescent="0.25">
      <c r="A93" s="837">
        <v>8313528</v>
      </c>
      <c r="B93" s="854">
        <v>3528</v>
      </c>
      <c r="C93" s="855" t="s">
        <v>266</v>
      </c>
      <c r="D93" s="856" t="s">
        <v>243</v>
      </c>
      <c r="E93" s="857" t="s">
        <v>680</v>
      </c>
      <c r="F93" s="858">
        <v>51</v>
      </c>
      <c r="G93" s="859"/>
      <c r="H93" s="860">
        <v>50</v>
      </c>
      <c r="I93" s="860">
        <v>55</v>
      </c>
      <c r="J93" s="860"/>
      <c r="K93" s="860">
        <v>51</v>
      </c>
      <c r="L93" s="860">
        <v>51</v>
      </c>
      <c r="M93" s="860">
        <v>42</v>
      </c>
      <c r="N93" s="860">
        <v>47</v>
      </c>
      <c r="O93" s="860"/>
      <c r="P93" s="860">
        <v>0</v>
      </c>
      <c r="Q93" s="860">
        <v>0</v>
      </c>
      <c r="R93" s="860">
        <v>0</v>
      </c>
      <c r="S93" s="860"/>
      <c r="T93" s="860">
        <v>0</v>
      </c>
      <c r="U93" s="860">
        <v>0</v>
      </c>
      <c r="V93" s="860"/>
      <c r="W93" s="860">
        <v>0</v>
      </c>
      <c r="X93" s="860">
        <v>0</v>
      </c>
      <c r="Y93" s="861">
        <v>0</v>
      </c>
      <c r="Z93" s="862">
        <f t="shared" si="15"/>
        <v>347</v>
      </c>
      <c r="AA93" s="848">
        <f t="shared" si="20"/>
        <v>0</v>
      </c>
      <c r="AB93" s="848">
        <f t="shared" si="21"/>
        <v>0</v>
      </c>
      <c r="AC93" s="849">
        <f t="shared" si="16"/>
        <v>347</v>
      </c>
      <c r="AD93" s="863">
        <f t="shared" si="17"/>
        <v>0</v>
      </c>
      <c r="AE93" s="864">
        <f t="shared" si="18"/>
        <v>347</v>
      </c>
      <c r="AG93" s="852">
        <f t="shared" si="22"/>
        <v>51</v>
      </c>
      <c r="AH93" s="852">
        <f t="shared" si="19"/>
        <v>105</v>
      </c>
      <c r="AI93" s="852">
        <f t="shared" si="23"/>
        <v>191</v>
      </c>
      <c r="AJ93" s="852">
        <f t="shared" si="24"/>
        <v>0</v>
      </c>
      <c r="AK93" s="852">
        <f t="shared" si="25"/>
        <v>0</v>
      </c>
      <c r="AL93" s="852">
        <f t="shared" si="26"/>
        <v>0</v>
      </c>
      <c r="AM93" s="853">
        <f t="shared" si="27"/>
        <v>347</v>
      </c>
      <c r="AN93" s="852">
        <f t="shared" si="28"/>
        <v>347</v>
      </c>
    </row>
    <row r="94" spans="1:40" s="824" customFormat="1" ht="13.5" thickBot="1" x14ac:dyDescent="0.25">
      <c r="A94" s="837">
        <v>8313534</v>
      </c>
      <c r="B94" s="854">
        <v>3534</v>
      </c>
      <c r="C94" s="855" t="s">
        <v>266</v>
      </c>
      <c r="D94" s="856" t="s">
        <v>681</v>
      </c>
      <c r="E94" s="857" t="s">
        <v>982</v>
      </c>
      <c r="F94" s="858">
        <v>0</v>
      </c>
      <c r="G94" s="859"/>
      <c r="H94" s="860">
        <v>0</v>
      </c>
      <c r="I94" s="860">
        <v>0</v>
      </c>
      <c r="J94" s="860"/>
      <c r="K94" s="860">
        <v>59</v>
      </c>
      <c r="L94" s="860">
        <v>59</v>
      </c>
      <c r="M94" s="860">
        <v>65</v>
      </c>
      <c r="N94" s="860">
        <v>61</v>
      </c>
      <c r="O94" s="860"/>
      <c r="P94" s="860">
        <v>0</v>
      </c>
      <c r="Q94" s="860">
        <v>0</v>
      </c>
      <c r="R94" s="860">
        <v>0</v>
      </c>
      <c r="S94" s="860"/>
      <c r="T94" s="860">
        <v>0</v>
      </c>
      <c r="U94" s="860">
        <v>0</v>
      </c>
      <c r="V94" s="860"/>
      <c r="W94" s="860">
        <v>0</v>
      </c>
      <c r="X94" s="860">
        <v>0</v>
      </c>
      <c r="Y94" s="861">
        <v>0</v>
      </c>
      <c r="Z94" s="862">
        <f t="shared" si="15"/>
        <v>244</v>
      </c>
      <c r="AA94" s="848">
        <f t="shared" si="20"/>
        <v>0</v>
      </c>
      <c r="AB94" s="848">
        <f t="shared" si="21"/>
        <v>0</v>
      </c>
      <c r="AC94" s="849">
        <f t="shared" si="16"/>
        <v>244</v>
      </c>
      <c r="AD94" s="863">
        <f t="shared" si="17"/>
        <v>0</v>
      </c>
      <c r="AE94" s="864">
        <f t="shared" si="18"/>
        <v>244</v>
      </c>
      <c r="AG94" s="852">
        <f t="shared" si="22"/>
        <v>0</v>
      </c>
      <c r="AH94" s="852">
        <f t="shared" si="19"/>
        <v>0</v>
      </c>
      <c r="AI94" s="852">
        <f t="shared" si="23"/>
        <v>244</v>
      </c>
      <c r="AJ94" s="852">
        <f t="shared" si="24"/>
        <v>0</v>
      </c>
      <c r="AK94" s="852">
        <f t="shared" si="25"/>
        <v>0</v>
      </c>
      <c r="AL94" s="852">
        <f t="shared" si="26"/>
        <v>0</v>
      </c>
      <c r="AM94" s="853">
        <f t="shared" si="27"/>
        <v>244</v>
      </c>
      <c r="AN94" s="852">
        <f t="shared" si="28"/>
        <v>244</v>
      </c>
    </row>
    <row r="95" spans="1:40" s="824" customFormat="1" ht="13.5" thickBot="1" x14ac:dyDescent="0.25">
      <c r="A95" s="837">
        <v>8313532</v>
      </c>
      <c r="B95" s="854">
        <v>3532</v>
      </c>
      <c r="C95" s="855" t="s">
        <v>266</v>
      </c>
      <c r="D95" s="856" t="s">
        <v>983</v>
      </c>
      <c r="E95" s="857" t="s">
        <v>984</v>
      </c>
      <c r="F95" s="858">
        <v>46</v>
      </c>
      <c r="G95" s="859"/>
      <c r="H95" s="860">
        <v>45</v>
      </c>
      <c r="I95" s="860">
        <v>45</v>
      </c>
      <c r="J95" s="860"/>
      <c r="K95" s="860">
        <v>42</v>
      </c>
      <c r="L95" s="860">
        <v>43</v>
      </c>
      <c r="M95" s="860">
        <v>44</v>
      </c>
      <c r="N95" s="860">
        <v>45</v>
      </c>
      <c r="O95" s="860"/>
      <c r="P95" s="860">
        <v>0</v>
      </c>
      <c r="Q95" s="860">
        <v>0</v>
      </c>
      <c r="R95" s="860">
        <v>0</v>
      </c>
      <c r="S95" s="860"/>
      <c r="T95" s="860">
        <v>0</v>
      </c>
      <c r="U95" s="860">
        <v>0</v>
      </c>
      <c r="V95" s="860"/>
      <c r="W95" s="860">
        <v>0</v>
      </c>
      <c r="X95" s="860">
        <v>0</v>
      </c>
      <c r="Y95" s="861">
        <v>0</v>
      </c>
      <c r="Z95" s="862">
        <f t="shared" si="15"/>
        <v>310</v>
      </c>
      <c r="AA95" s="848">
        <f t="shared" si="20"/>
        <v>0</v>
      </c>
      <c r="AB95" s="848">
        <f t="shared" si="21"/>
        <v>0</v>
      </c>
      <c r="AC95" s="849">
        <f t="shared" si="16"/>
        <v>310</v>
      </c>
      <c r="AD95" s="863">
        <f t="shared" si="17"/>
        <v>0</v>
      </c>
      <c r="AE95" s="864">
        <f t="shared" si="18"/>
        <v>310</v>
      </c>
      <c r="AG95" s="852">
        <f t="shared" si="22"/>
        <v>46</v>
      </c>
      <c r="AH95" s="852">
        <f t="shared" si="19"/>
        <v>90</v>
      </c>
      <c r="AI95" s="852">
        <f t="shared" si="23"/>
        <v>174</v>
      </c>
      <c r="AJ95" s="852">
        <f t="shared" si="24"/>
        <v>0</v>
      </c>
      <c r="AK95" s="852">
        <f t="shared" si="25"/>
        <v>0</v>
      </c>
      <c r="AL95" s="852">
        <f t="shared" si="26"/>
        <v>0</v>
      </c>
      <c r="AM95" s="853">
        <f t="shared" si="27"/>
        <v>310</v>
      </c>
      <c r="AN95" s="852">
        <f t="shared" si="28"/>
        <v>310</v>
      </c>
    </row>
    <row r="96" spans="1:40" s="824" customFormat="1" ht="13.5" thickBot="1" x14ac:dyDescent="0.25">
      <c r="A96" s="837">
        <v>8311010</v>
      </c>
      <c r="B96" s="854">
        <v>1010</v>
      </c>
      <c r="C96" s="855" t="s">
        <v>959</v>
      </c>
      <c r="D96" s="856" t="s">
        <v>244</v>
      </c>
      <c r="E96" s="857" t="s">
        <v>7</v>
      </c>
      <c r="F96" s="858">
        <v>0</v>
      </c>
      <c r="G96" s="859"/>
      <c r="H96" s="860">
        <v>0</v>
      </c>
      <c r="I96" s="860">
        <v>0</v>
      </c>
      <c r="J96" s="860"/>
      <c r="K96" s="860">
        <v>0</v>
      </c>
      <c r="L96" s="860">
        <v>0</v>
      </c>
      <c r="M96" s="860">
        <v>0</v>
      </c>
      <c r="N96" s="860">
        <v>0</v>
      </c>
      <c r="O96" s="860"/>
      <c r="P96" s="860">
        <v>0</v>
      </c>
      <c r="Q96" s="860">
        <v>0</v>
      </c>
      <c r="R96" s="860">
        <v>0</v>
      </c>
      <c r="S96" s="860"/>
      <c r="T96" s="860">
        <v>0</v>
      </c>
      <c r="U96" s="860">
        <v>0</v>
      </c>
      <c r="V96" s="860"/>
      <c r="W96" s="860">
        <v>0</v>
      </c>
      <c r="X96" s="860">
        <v>0</v>
      </c>
      <c r="Y96" s="861">
        <v>0</v>
      </c>
      <c r="Z96" s="862">
        <f t="shared" si="15"/>
        <v>0</v>
      </c>
      <c r="AA96" s="848">
        <f t="shared" si="20"/>
        <v>0</v>
      </c>
      <c r="AB96" s="848">
        <f t="shared" si="21"/>
        <v>0</v>
      </c>
      <c r="AC96" s="849">
        <f t="shared" si="16"/>
        <v>0</v>
      </c>
      <c r="AD96" s="863">
        <f t="shared" si="17"/>
        <v>0</v>
      </c>
      <c r="AE96" s="864">
        <f t="shared" si="18"/>
        <v>0</v>
      </c>
      <c r="AG96" s="852">
        <f t="shared" si="22"/>
        <v>0</v>
      </c>
      <c r="AH96" s="852">
        <f t="shared" si="19"/>
        <v>0</v>
      </c>
      <c r="AI96" s="852">
        <f t="shared" si="23"/>
        <v>0</v>
      </c>
      <c r="AJ96" s="852">
        <f t="shared" si="24"/>
        <v>0</v>
      </c>
      <c r="AK96" s="852">
        <f t="shared" si="25"/>
        <v>0</v>
      </c>
      <c r="AL96" s="852">
        <f t="shared" si="26"/>
        <v>0</v>
      </c>
      <c r="AM96" s="853">
        <f t="shared" si="27"/>
        <v>0</v>
      </c>
      <c r="AN96" s="852">
        <f t="shared" si="28"/>
        <v>0</v>
      </c>
    </row>
    <row r="97" spans="1:40" s="824" customFormat="1" ht="13.5" thickBot="1" x14ac:dyDescent="0.25">
      <c r="A97" s="837">
        <v>8311103</v>
      </c>
      <c r="B97" s="854">
        <v>1103</v>
      </c>
      <c r="C97" s="855" t="s">
        <v>963</v>
      </c>
      <c r="D97" s="856" t="s">
        <v>532</v>
      </c>
      <c r="E97" s="857" t="s">
        <v>985</v>
      </c>
      <c r="F97" s="858">
        <v>0</v>
      </c>
      <c r="G97" s="859"/>
      <c r="H97" s="860">
        <v>0</v>
      </c>
      <c r="I97" s="860">
        <v>0</v>
      </c>
      <c r="J97" s="860"/>
      <c r="K97" s="860">
        <v>0</v>
      </c>
      <c r="L97" s="860">
        <v>0</v>
      </c>
      <c r="M97" s="860">
        <v>0</v>
      </c>
      <c r="N97" s="860">
        <v>0</v>
      </c>
      <c r="O97" s="860"/>
      <c r="P97" s="860">
        <v>2</v>
      </c>
      <c r="Q97" s="860">
        <v>5</v>
      </c>
      <c r="R97" s="860">
        <v>9</v>
      </c>
      <c r="S97" s="860"/>
      <c r="T97" s="860">
        <v>26</v>
      </c>
      <c r="U97" s="860">
        <v>47</v>
      </c>
      <c r="V97" s="860"/>
      <c r="W97" s="860">
        <v>0</v>
      </c>
      <c r="X97" s="860">
        <v>0</v>
      </c>
      <c r="Y97" s="861">
        <v>0</v>
      </c>
      <c r="Z97" s="862">
        <f>SUM(F97:Y97)</f>
        <v>89</v>
      </c>
      <c r="AA97" s="848">
        <f t="shared" si="20"/>
        <v>16</v>
      </c>
      <c r="AB97" s="848">
        <f t="shared" si="21"/>
        <v>73</v>
      </c>
      <c r="AC97" s="849">
        <f t="shared" si="16"/>
        <v>89</v>
      </c>
      <c r="AD97" s="863">
        <f t="shared" si="17"/>
        <v>0</v>
      </c>
      <c r="AE97" s="864">
        <f t="shared" si="18"/>
        <v>89</v>
      </c>
      <c r="AG97" s="852">
        <f t="shared" si="22"/>
        <v>0</v>
      </c>
      <c r="AH97" s="852">
        <f t="shared" si="19"/>
        <v>0</v>
      </c>
      <c r="AI97" s="852">
        <f t="shared" si="23"/>
        <v>0</v>
      </c>
      <c r="AJ97" s="852">
        <f t="shared" si="24"/>
        <v>16</v>
      </c>
      <c r="AK97" s="852">
        <f t="shared" si="25"/>
        <v>73</v>
      </c>
      <c r="AL97" s="852">
        <f t="shared" si="26"/>
        <v>0</v>
      </c>
      <c r="AM97" s="853">
        <f t="shared" si="27"/>
        <v>89</v>
      </c>
      <c r="AN97" s="852">
        <f t="shared" si="28"/>
        <v>89</v>
      </c>
    </row>
    <row r="98" spans="1:40" ht="13.5" thickBot="1" x14ac:dyDescent="0.25">
      <c r="A98" s="837">
        <v>8313546</v>
      </c>
      <c r="B98" s="854">
        <v>3546</v>
      </c>
      <c r="C98" s="855" t="s">
        <v>266</v>
      </c>
      <c r="D98" s="856" t="s">
        <v>245</v>
      </c>
      <c r="E98" s="857" t="s">
        <v>65</v>
      </c>
      <c r="F98" s="858">
        <v>91</v>
      </c>
      <c r="G98" s="859"/>
      <c r="H98" s="860">
        <v>88</v>
      </c>
      <c r="I98" s="860">
        <v>75</v>
      </c>
      <c r="J98" s="860"/>
      <c r="K98" s="860">
        <v>74</v>
      </c>
      <c r="L98" s="860">
        <v>73</v>
      </c>
      <c r="M98" s="860">
        <v>74</v>
      </c>
      <c r="N98" s="860">
        <v>72</v>
      </c>
      <c r="O98" s="860">
        <v>-1</v>
      </c>
      <c r="P98" s="860">
        <v>0</v>
      </c>
      <c r="Q98" s="860">
        <v>0</v>
      </c>
      <c r="R98" s="860">
        <v>0</v>
      </c>
      <c r="S98" s="860"/>
      <c r="T98" s="860">
        <v>0</v>
      </c>
      <c r="U98" s="860">
        <v>0</v>
      </c>
      <c r="V98" s="860"/>
      <c r="W98" s="860">
        <v>0</v>
      </c>
      <c r="X98" s="860">
        <v>0</v>
      </c>
      <c r="Y98" s="861">
        <v>0</v>
      </c>
      <c r="Z98" s="862">
        <f t="shared" ref="Z98:Z104" si="29">SUM(F98:O98)</f>
        <v>546</v>
      </c>
      <c r="AA98" s="848">
        <f t="shared" si="20"/>
        <v>0</v>
      </c>
      <c r="AB98" s="848">
        <f t="shared" si="21"/>
        <v>0</v>
      </c>
      <c r="AC98" s="849">
        <f t="shared" si="16"/>
        <v>546</v>
      </c>
      <c r="AD98" s="863">
        <f t="shared" si="17"/>
        <v>0</v>
      </c>
      <c r="AE98" s="864">
        <f t="shared" si="18"/>
        <v>546</v>
      </c>
      <c r="AG98" s="852">
        <f t="shared" si="22"/>
        <v>91</v>
      </c>
      <c r="AH98" s="852">
        <f t="shared" si="19"/>
        <v>163</v>
      </c>
      <c r="AI98" s="852">
        <f t="shared" si="23"/>
        <v>292</v>
      </c>
      <c r="AJ98" s="852">
        <f t="shared" si="24"/>
        <v>0</v>
      </c>
      <c r="AK98" s="852">
        <f t="shared" si="25"/>
        <v>0</v>
      </c>
      <c r="AL98" s="852">
        <f t="shared" si="26"/>
        <v>0</v>
      </c>
      <c r="AM98" s="853">
        <f t="shared" si="27"/>
        <v>546</v>
      </c>
      <c r="AN98" s="852">
        <f t="shared" si="28"/>
        <v>546</v>
      </c>
    </row>
    <row r="99" spans="1:40" s="824" customFormat="1" ht="13.5" thickBot="1" x14ac:dyDescent="0.25">
      <c r="A99" s="837">
        <v>8311009</v>
      </c>
      <c r="B99" s="854">
        <v>1009</v>
      </c>
      <c r="C99" s="855" t="s">
        <v>959</v>
      </c>
      <c r="D99" s="856" t="s">
        <v>246</v>
      </c>
      <c r="E99" s="857" t="s">
        <v>8</v>
      </c>
      <c r="F99" s="858">
        <v>0</v>
      </c>
      <c r="G99" s="859"/>
      <c r="H99" s="860">
        <v>0</v>
      </c>
      <c r="I99" s="860">
        <v>0</v>
      </c>
      <c r="J99" s="860"/>
      <c r="K99" s="860">
        <v>0</v>
      </c>
      <c r="L99" s="860">
        <v>0</v>
      </c>
      <c r="M99" s="860">
        <v>0</v>
      </c>
      <c r="N99" s="860">
        <v>0</v>
      </c>
      <c r="O99" s="860"/>
      <c r="P99" s="860">
        <v>0</v>
      </c>
      <c r="Q99" s="860">
        <v>0</v>
      </c>
      <c r="R99" s="860">
        <v>0</v>
      </c>
      <c r="S99" s="860"/>
      <c r="T99" s="860">
        <v>0</v>
      </c>
      <c r="U99" s="860">
        <v>0</v>
      </c>
      <c r="V99" s="860"/>
      <c r="W99" s="860">
        <v>0</v>
      </c>
      <c r="X99" s="860">
        <v>0</v>
      </c>
      <c r="Y99" s="861">
        <v>0</v>
      </c>
      <c r="Z99" s="862">
        <f t="shared" si="29"/>
        <v>0</v>
      </c>
      <c r="AA99" s="848">
        <f t="shared" si="20"/>
        <v>0</v>
      </c>
      <c r="AB99" s="848">
        <f t="shared" si="21"/>
        <v>0</v>
      </c>
      <c r="AC99" s="849">
        <f t="shared" si="16"/>
        <v>0</v>
      </c>
      <c r="AD99" s="863">
        <f t="shared" si="17"/>
        <v>0</v>
      </c>
      <c r="AE99" s="864">
        <f t="shared" si="18"/>
        <v>0</v>
      </c>
      <c r="AG99" s="852">
        <f t="shared" si="22"/>
        <v>0</v>
      </c>
      <c r="AH99" s="852">
        <f t="shared" si="19"/>
        <v>0</v>
      </c>
      <c r="AI99" s="852">
        <f t="shared" si="23"/>
        <v>0</v>
      </c>
      <c r="AJ99" s="852">
        <f t="shared" si="24"/>
        <v>0</v>
      </c>
      <c r="AK99" s="852">
        <f t="shared" si="25"/>
        <v>0</v>
      </c>
      <c r="AL99" s="852">
        <f t="shared" si="26"/>
        <v>0</v>
      </c>
      <c r="AM99" s="853">
        <f t="shared" si="27"/>
        <v>0</v>
      </c>
      <c r="AN99" s="852">
        <f t="shared" si="28"/>
        <v>0</v>
      </c>
    </row>
    <row r="100" spans="1:40" ht="13.5" thickBot="1" x14ac:dyDescent="0.25">
      <c r="A100" s="837">
        <v>8313530</v>
      </c>
      <c r="B100" s="854">
        <v>3530</v>
      </c>
      <c r="C100" s="855" t="s">
        <v>266</v>
      </c>
      <c r="D100" s="856" t="s">
        <v>247</v>
      </c>
      <c r="E100" s="857" t="s">
        <v>66</v>
      </c>
      <c r="F100" s="858">
        <v>55</v>
      </c>
      <c r="G100" s="859"/>
      <c r="H100" s="860">
        <v>45</v>
      </c>
      <c r="I100" s="860">
        <v>43</v>
      </c>
      <c r="J100" s="860"/>
      <c r="K100" s="860">
        <v>43</v>
      </c>
      <c r="L100" s="860">
        <v>46</v>
      </c>
      <c r="M100" s="860">
        <v>38</v>
      </c>
      <c r="N100" s="860">
        <v>47</v>
      </c>
      <c r="O100" s="860"/>
      <c r="P100" s="860">
        <v>0</v>
      </c>
      <c r="Q100" s="860">
        <v>0</v>
      </c>
      <c r="R100" s="860">
        <v>0</v>
      </c>
      <c r="S100" s="860"/>
      <c r="T100" s="860">
        <v>0</v>
      </c>
      <c r="U100" s="860">
        <v>0</v>
      </c>
      <c r="V100" s="860"/>
      <c r="W100" s="860">
        <v>0</v>
      </c>
      <c r="X100" s="860">
        <v>0</v>
      </c>
      <c r="Y100" s="861">
        <v>0</v>
      </c>
      <c r="Z100" s="862">
        <f t="shared" si="29"/>
        <v>317</v>
      </c>
      <c r="AA100" s="848">
        <f t="shared" si="20"/>
        <v>0</v>
      </c>
      <c r="AB100" s="848">
        <f t="shared" si="21"/>
        <v>0</v>
      </c>
      <c r="AC100" s="849">
        <f t="shared" si="16"/>
        <v>317</v>
      </c>
      <c r="AD100" s="863">
        <f t="shared" si="17"/>
        <v>0</v>
      </c>
      <c r="AE100" s="864">
        <f t="shared" si="18"/>
        <v>317</v>
      </c>
      <c r="AG100" s="852">
        <f t="shared" si="22"/>
        <v>55</v>
      </c>
      <c r="AH100" s="852">
        <f t="shared" si="19"/>
        <v>88</v>
      </c>
      <c r="AI100" s="852">
        <f t="shared" si="23"/>
        <v>174</v>
      </c>
      <c r="AJ100" s="852">
        <f t="shared" si="24"/>
        <v>0</v>
      </c>
      <c r="AK100" s="852">
        <f t="shared" si="25"/>
        <v>0</v>
      </c>
      <c r="AL100" s="852">
        <f t="shared" si="26"/>
        <v>0</v>
      </c>
      <c r="AM100" s="853">
        <f t="shared" si="27"/>
        <v>317</v>
      </c>
      <c r="AN100" s="852">
        <f t="shared" si="28"/>
        <v>317</v>
      </c>
    </row>
    <row r="101" spans="1:40" ht="13.5" thickBot="1" x14ac:dyDescent="0.25">
      <c r="A101" s="837">
        <v>8315412</v>
      </c>
      <c r="B101" s="854">
        <v>5412</v>
      </c>
      <c r="C101" s="855" t="s">
        <v>203</v>
      </c>
      <c r="D101" s="856"/>
      <c r="E101" s="857" t="s">
        <v>74</v>
      </c>
      <c r="F101" s="858">
        <v>0</v>
      </c>
      <c r="G101" s="859"/>
      <c r="H101" s="860">
        <v>0</v>
      </c>
      <c r="I101" s="860">
        <v>0</v>
      </c>
      <c r="J101" s="860"/>
      <c r="K101" s="860">
        <v>0</v>
      </c>
      <c r="L101" s="860">
        <v>0</v>
      </c>
      <c r="M101" s="860">
        <v>0</v>
      </c>
      <c r="N101" s="860">
        <v>0</v>
      </c>
      <c r="O101" s="860"/>
      <c r="P101" s="860">
        <v>252</v>
      </c>
      <c r="Q101" s="860">
        <v>244</v>
      </c>
      <c r="R101" s="860">
        <v>248</v>
      </c>
      <c r="S101" s="860"/>
      <c r="T101" s="860">
        <v>248</v>
      </c>
      <c r="U101" s="860">
        <v>265</v>
      </c>
      <c r="V101" s="860"/>
      <c r="W101" s="860">
        <v>0</v>
      </c>
      <c r="X101" s="860">
        <v>0</v>
      </c>
      <c r="Y101" s="861">
        <v>0</v>
      </c>
      <c r="Z101" s="862">
        <f t="shared" si="29"/>
        <v>0</v>
      </c>
      <c r="AA101" s="848">
        <f t="shared" si="20"/>
        <v>744</v>
      </c>
      <c r="AB101" s="848">
        <f t="shared" si="21"/>
        <v>513</v>
      </c>
      <c r="AC101" s="849">
        <f t="shared" si="16"/>
        <v>1257</v>
      </c>
      <c r="AD101" s="863">
        <f t="shared" si="17"/>
        <v>0</v>
      </c>
      <c r="AE101" s="864">
        <f t="shared" si="18"/>
        <v>1257</v>
      </c>
      <c r="AG101" s="852">
        <f t="shared" si="22"/>
        <v>0</v>
      </c>
      <c r="AH101" s="852">
        <f t="shared" si="19"/>
        <v>0</v>
      </c>
      <c r="AI101" s="852">
        <f t="shared" si="23"/>
        <v>0</v>
      </c>
      <c r="AJ101" s="852">
        <f t="shared" si="24"/>
        <v>744</v>
      </c>
      <c r="AK101" s="852">
        <f t="shared" si="25"/>
        <v>513</v>
      </c>
      <c r="AL101" s="852">
        <f t="shared" si="26"/>
        <v>0</v>
      </c>
      <c r="AM101" s="853">
        <f t="shared" si="27"/>
        <v>1257</v>
      </c>
      <c r="AN101" s="852">
        <f t="shared" si="28"/>
        <v>1257</v>
      </c>
    </row>
    <row r="102" spans="1:40" s="824" customFormat="1" ht="13.5" thickBot="1" x14ac:dyDescent="0.25">
      <c r="A102" s="837">
        <v>8311015</v>
      </c>
      <c r="B102" s="854">
        <v>1015</v>
      </c>
      <c r="C102" s="855" t="s">
        <v>959</v>
      </c>
      <c r="D102" s="856" t="s">
        <v>248</v>
      </c>
      <c r="E102" s="857" t="s">
        <v>986</v>
      </c>
      <c r="F102" s="858">
        <v>0</v>
      </c>
      <c r="G102" s="859"/>
      <c r="H102" s="860">
        <v>0</v>
      </c>
      <c r="I102" s="860">
        <v>0</v>
      </c>
      <c r="J102" s="860"/>
      <c r="K102" s="860">
        <v>0</v>
      </c>
      <c r="L102" s="860">
        <v>0</v>
      </c>
      <c r="M102" s="860">
        <v>0</v>
      </c>
      <c r="N102" s="860">
        <v>0</v>
      </c>
      <c r="O102" s="860"/>
      <c r="P102" s="860">
        <v>0</v>
      </c>
      <c r="Q102" s="860">
        <v>0</v>
      </c>
      <c r="R102" s="860">
        <v>0</v>
      </c>
      <c r="S102" s="860"/>
      <c r="T102" s="860">
        <v>0</v>
      </c>
      <c r="U102" s="860">
        <v>0</v>
      </c>
      <c r="V102" s="860"/>
      <c r="W102" s="860">
        <v>0</v>
      </c>
      <c r="X102" s="860">
        <v>0</v>
      </c>
      <c r="Y102" s="861">
        <v>0</v>
      </c>
      <c r="Z102" s="871">
        <f t="shared" si="29"/>
        <v>0</v>
      </c>
      <c r="AA102" s="848">
        <f t="shared" si="20"/>
        <v>0</v>
      </c>
      <c r="AB102" s="848">
        <f t="shared" si="21"/>
        <v>0</v>
      </c>
      <c r="AC102" s="849">
        <f t="shared" si="16"/>
        <v>0</v>
      </c>
      <c r="AD102" s="872">
        <f t="shared" si="17"/>
        <v>0</v>
      </c>
      <c r="AE102" s="873">
        <f t="shared" si="18"/>
        <v>0</v>
      </c>
      <c r="AG102" s="852">
        <f t="shared" si="22"/>
        <v>0</v>
      </c>
      <c r="AH102" s="852">
        <f t="shared" si="19"/>
        <v>0</v>
      </c>
      <c r="AI102" s="852">
        <f t="shared" si="23"/>
        <v>0</v>
      </c>
      <c r="AJ102" s="852">
        <f t="shared" si="24"/>
        <v>0</v>
      </c>
      <c r="AK102" s="852">
        <f t="shared" si="25"/>
        <v>0</v>
      </c>
      <c r="AL102" s="852">
        <f t="shared" si="26"/>
        <v>0</v>
      </c>
      <c r="AM102" s="853">
        <f t="shared" si="27"/>
        <v>0</v>
      </c>
      <c r="AN102" s="852">
        <f t="shared" si="28"/>
        <v>0</v>
      </c>
    </row>
    <row r="103" spans="1:40" ht="13.5" thickBot="1" x14ac:dyDescent="0.25">
      <c r="A103" s="837">
        <v>8312459</v>
      </c>
      <c r="B103" s="854">
        <v>2459</v>
      </c>
      <c r="C103" s="855" t="s">
        <v>266</v>
      </c>
      <c r="D103" s="854" t="s">
        <v>682</v>
      </c>
      <c r="E103" s="857" t="s">
        <v>67</v>
      </c>
      <c r="F103" s="858">
        <v>55</v>
      </c>
      <c r="G103" s="859">
        <v>-1</v>
      </c>
      <c r="H103" s="860">
        <v>56</v>
      </c>
      <c r="I103" s="860">
        <v>58</v>
      </c>
      <c r="J103" s="860"/>
      <c r="K103" s="860">
        <v>56</v>
      </c>
      <c r="L103" s="860">
        <v>54</v>
      </c>
      <c r="M103" s="860">
        <v>58</v>
      </c>
      <c r="N103" s="860">
        <v>54</v>
      </c>
      <c r="O103" s="860"/>
      <c r="P103" s="860">
        <v>0</v>
      </c>
      <c r="Q103" s="860">
        <v>0</v>
      </c>
      <c r="R103" s="860">
        <v>0</v>
      </c>
      <c r="S103" s="860"/>
      <c r="T103" s="860">
        <v>0</v>
      </c>
      <c r="U103" s="860">
        <v>0</v>
      </c>
      <c r="V103" s="860"/>
      <c r="W103" s="860">
        <v>0</v>
      </c>
      <c r="X103" s="860">
        <v>0</v>
      </c>
      <c r="Y103" s="861">
        <v>0</v>
      </c>
      <c r="Z103" s="862">
        <f t="shared" si="29"/>
        <v>390</v>
      </c>
      <c r="AA103" s="848">
        <f t="shared" si="20"/>
        <v>0</v>
      </c>
      <c r="AB103" s="848">
        <f t="shared" si="21"/>
        <v>0</v>
      </c>
      <c r="AC103" s="849">
        <f t="shared" si="16"/>
        <v>390</v>
      </c>
      <c r="AD103" s="863">
        <f t="shared" si="17"/>
        <v>0</v>
      </c>
      <c r="AE103" s="864">
        <f t="shared" si="18"/>
        <v>390</v>
      </c>
      <c r="AG103" s="852">
        <f t="shared" si="22"/>
        <v>54</v>
      </c>
      <c r="AH103" s="852">
        <f t="shared" si="19"/>
        <v>114</v>
      </c>
      <c r="AI103" s="852">
        <f t="shared" si="23"/>
        <v>222</v>
      </c>
      <c r="AJ103" s="852">
        <f t="shared" si="24"/>
        <v>0</v>
      </c>
      <c r="AK103" s="852">
        <f t="shared" si="25"/>
        <v>0</v>
      </c>
      <c r="AL103" s="852">
        <f t="shared" si="26"/>
        <v>0</v>
      </c>
      <c r="AM103" s="853">
        <f t="shared" si="27"/>
        <v>390</v>
      </c>
      <c r="AN103" s="852">
        <f t="shared" si="28"/>
        <v>390</v>
      </c>
    </row>
    <row r="104" spans="1:40" ht="13.5" thickBot="1" x14ac:dyDescent="0.25">
      <c r="A104" s="837">
        <v>8312007</v>
      </c>
      <c r="B104" s="876">
        <v>2007</v>
      </c>
      <c r="C104" s="877" t="s">
        <v>266</v>
      </c>
      <c r="D104" s="878"/>
      <c r="E104" s="879" t="s">
        <v>96</v>
      </c>
      <c r="F104" s="858">
        <v>49</v>
      </c>
      <c r="G104" s="865"/>
      <c r="H104" s="860">
        <v>39</v>
      </c>
      <c r="I104" s="860">
        <v>56</v>
      </c>
      <c r="J104" s="866"/>
      <c r="K104" s="860">
        <v>45</v>
      </c>
      <c r="L104" s="860">
        <v>43</v>
      </c>
      <c r="M104" s="860">
        <v>29</v>
      </c>
      <c r="N104" s="860">
        <v>43</v>
      </c>
      <c r="O104" s="866"/>
      <c r="P104" s="866">
        <v>0</v>
      </c>
      <c r="Q104" s="866">
        <v>0</v>
      </c>
      <c r="R104" s="866">
        <v>0</v>
      </c>
      <c r="S104" s="866"/>
      <c r="T104" s="866">
        <v>0</v>
      </c>
      <c r="U104" s="866">
        <v>0</v>
      </c>
      <c r="V104" s="866"/>
      <c r="W104" s="866">
        <v>0</v>
      </c>
      <c r="X104" s="866">
        <v>0</v>
      </c>
      <c r="Y104" s="867">
        <v>0</v>
      </c>
      <c r="Z104" s="862">
        <f t="shared" si="29"/>
        <v>304</v>
      </c>
      <c r="AA104" s="848">
        <f t="shared" si="20"/>
        <v>0</v>
      </c>
      <c r="AB104" s="848">
        <f t="shared" si="21"/>
        <v>0</v>
      </c>
      <c r="AC104" s="849">
        <f t="shared" si="16"/>
        <v>304</v>
      </c>
      <c r="AD104" s="868">
        <f t="shared" si="17"/>
        <v>0</v>
      </c>
      <c r="AE104" s="864">
        <f t="shared" si="18"/>
        <v>304</v>
      </c>
      <c r="AG104" s="852">
        <f t="shared" si="22"/>
        <v>49</v>
      </c>
      <c r="AH104" s="852">
        <f t="shared" si="19"/>
        <v>95</v>
      </c>
      <c r="AI104" s="852">
        <f t="shared" si="23"/>
        <v>160</v>
      </c>
      <c r="AJ104" s="852">
        <f t="shared" si="24"/>
        <v>0</v>
      </c>
      <c r="AK104" s="852">
        <f t="shared" si="25"/>
        <v>0</v>
      </c>
      <c r="AL104" s="852">
        <f t="shared" si="26"/>
        <v>0</v>
      </c>
      <c r="AM104" s="853">
        <f t="shared" si="27"/>
        <v>304</v>
      </c>
      <c r="AN104" s="852">
        <f t="shared" si="28"/>
        <v>304</v>
      </c>
    </row>
    <row r="105" spans="1:40" s="824" customFormat="1" ht="14.25" thickTop="1" thickBot="1" x14ac:dyDescent="0.25">
      <c r="A105" s="826"/>
      <c r="E105" s="880" t="s">
        <v>987</v>
      </c>
      <c r="F105" s="881">
        <f t="shared" ref="F105:AN105" si="30">SUM(F3:F104)</f>
        <v>3348</v>
      </c>
      <c r="G105" s="881">
        <f t="shared" si="30"/>
        <v>-2</v>
      </c>
      <c r="H105" s="882">
        <f t="shared" si="30"/>
        <v>3338</v>
      </c>
      <c r="I105" s="882">
        <f t="shared" si="30"/>
        <v>3318</v>
      </c>
      <c r="J105" s="882">
        <f t="shared" si="30"/>
        <v>-5</v>
      </c>
      <c r="K105" s="882">
        <f t="shared" si="30"/>
        <v>3182</v>
      </c>
      <c r="L105" s="882">
        <f t="shared" si="30"/>
        <v>3073</v>
      </c>
      <c r="M105" s="882">
        <f t="shared" si="30"/>
        <v>2949</v>
      </c>
      <c r="N105" s="882">
        <f t="shared" si="30"/>
        <v>2963</v>
      </c>
      <c r="O105" s="882">
        <f t="shared" si="30"/>
        <v>-7</v>
      </c>
      <c r="P105" s="882">
        <f t="shared" si="30"/>
        <v>2904</v>
      </c>
      <c r="Q105" s="882">
        <f t="shared" si="30"/>
        <v>2814</v>
      </c>
      <c r="R105" s="882">
        <f t="shared" si="30"/>
        <v>2848</v>
      </c>
      <c r="S105" s="882">
        <f t="shared" si="30"/>
        <v>-4</v>
      </c>
      <c r="T105" s="882">
        <f t="shared" si="30"/>
        <v>2889</v>
      </c>
      <c r="U105" s="882">
        <f t="shared" si="30"/>
        <v>3014</v>
      </c>
      <c r="V105" s="882">
        <f t="shared" si="30"/>
        <v>-3</v>
      </c>
      <c r="W105" s="882">
        <f t="shared" si="30"/>
        <v>1160</v>
      </c>
      <c r="X105" s="882">
        <f t="shared" si="30"/>
        <v>919</v>
      </c>
      <c r="Y105" s="883">
        <f t="shared" si="30"/>
        <v>49</v>
      </c>
      <c r="Z105" s="881">
        <f t="shared" si="30"/>
        <v>22246</v>
      </c>
      <c r="AA105" s="882">
        <f t="shared" si="30"/>
        <v>8562</v>
      </c>
      <c r="AB105" s="882">
        <f t="shared" si="30"/>
        <v>5900</v>
      </c>
      <c r="AC105" s="884">
        <f t="shared" si="30"/>
        <v>36619</v>
      </c>
      <c r="AD105" s="885">
        <f t="shared" si="30"/>
        <v>2128</v>
      </c>
      <c r="AE105" s="886">
        <f t="shared" si="30"/>
        <v>38747</v>
      </c>
      <c r="AG105" s="885">
        <f t="shared" si="30"/>
        <v>3346</v>
      </c>
      <c r="AH105" s="885">
        <f t="shared" si="30"/>
        <v>6651</v>
      </c>
      <c r="AI105" s="885">
        <f t="shared" si="30"/>
        <v>12160</v>
      </c>
      <c r="AJ105" s="885">
        <f t="shared" si="30"/>
        <v>8562</v>
      </c>
      <c r="AK105" s="885">
        <f t="shared" si="30"/>
        <v>5900</v>
      </c>
      <c r="AL105" s="885">
        <f t="shared" si="30"/>
        <v>2128</v>
      </c>
      <c r="AM105" s="887">
        <f t="shared" si="30"/>
        <v>36619</v>
      </c>
      <c r="AN105" s="885">
        <f t="shared" si="30"/>
        <v>38747</v>
      </c>
    </row>
    <row r="106" spans="1:40" ht="13.5" thickBot="1" x14ac:dyDescent="0.25">
      <c r="AG106" s="852"/>
      <c r="AH106" s="852"/>
      <c r="AI106" s="852"/>
      <c r="AJ106" s="852"/>
      <c r="AK106" s="852"/>
      <c r="AL106" s="852"/>
      <c r="AM106" s="853"/>
      <c r="AN106" s="852"/>
    </row>
    <row r="107" spans="1:40" s="893" customFormat="1" x14ac:dyDescent="0.2">
      <c r="A107" s="891"/>
      <c r="B107" s="892" t="s">
        <v>988</v>
      </c>
      <c r="C107" s="892"/>
      <c r="D107" s="135"/>
      <c r="F107" s="1321" t="s">
        <v>989</v>
      </c>
      <c r="G107" s="1322"/>
      <c r="H107" s="1323"/>
      <c r="I107" s="1323"/>
      <c r="J107" s="1323"/>
      <c r="K107" s="1323"/>
      <c r="L107" s="1323"/>
      <c r="M107" s="1323"/>
      <c r="N107" s="1323"/>
      <c r="O107" s="1323"/>
      <c r="P107" s="1323"/>
      <c r="Q107" s="1323"/>
      <c r="R107" s="1323"/>
      <c r="S107" s="1323"/>
      <c r="T107" s="1323"/>
      <c r="U107" s="1323"/>
      <c r="V107" s="1323"/>
      <c r="W107" s="1323"/>
      <c r="X107" s="1323"/>
      <c r="Y107" s="1323"/>
      <c r="Z107" s="1323"/>
      <c r="AA107" s="1323"/>
      <c r="AB107" s="1323"/>
      <c r="AC107" s="1323"/>
      <c r="AD107" s="1323"/>
      <c r="AE107" s="1324"/>
      <c r="AF107" s="894"/>
      <c r="AG107" s="852"/>
      <c r="AH107" s="852"/>
      <c r="AI107" s="852"/>
      <c r="AJ107" s="852"/>
      <c r="AK107" s="852"/>
      <c r="AL107" s="852"/>
      <c r="AM107" s="853"/>
      <c r="AN107" s="852"/>
    </row>
    <row r="108" spans="1:40" ht="39" thickBot="1" x14ac:dyDescent="0.25">
      <c r="F108" s="895" t="str">
        <f t="shared" ref="F108:Y108" si="31">F2</f>
        <v>R</v>
      </c>
      <c r="G108" s="896" t="str">
        <f t="shared" si="31"/>
        <v>EFA adjusted R</v>
      </c>
      <c r="H108" s="897">
        <f t="shared" si="31"/>
        <v>1</v>
      </c>
      <c r="I108" s="897">
        <f t="shared" si="31"/>
        <v>2</v>
      </c>
      <c r="J108" s="896" t="str">
        <f t="shared" si="31"/>
        <v>EFA Adjustment Yr 1-2</v>
      </c>
      <c r="K108" s="898">
        <f t="shared" si="31"/>
        <v>3</v>
      </c>
      <c r="L108" s="898">
        <f t="shared" si="31"/>
        <v>4</v>
      </c>
      <c r="M108" s="898">
        <f t="shared" si="31"/>
        <v>5</v>
      </c>
      <c r="N108" s="898">
        <f t="shared" si="31"/>
        <v>6</v>
      </c>
      <c r="O108" s="899" t="s">
        <v>990</v>
      </c>
      <c r="P108" s="834">
        <f t="shared" si="31"/>
        <v>7</v>
      </c>
      <c r="Q108" s="834">
        <f t="shared" si="31"/>
        <v>8</v>
      </c>
      <c r="R108" s="834">
        <f t="shared" si="31"/>
        <v>9</v>
      </c>
      <c r="S108" s="899" t="s">
        <v>951</v>
      </c>
      <c r="T108" s="834">
        <f t="shared" si="31"/>
        <v>10</v>
      </c>
      <c r="U108" s="834">
        <f t="shared" si="31"/>
        <v>11</v>
      </c>
      <c r="V108" s="899" t="s">
        <v>952</v>
      </c>
      <c r="W108" s="834">
        <f t="shared" si="31"/>
        <v>12</v>
      </c>
      <c r="X108" s="834">
        <f t="shared" si="31"/>
        <v>13</v>
      </c>
      <c r="Y108" s="835">
        <f t="shared" si="31"/>
        <v>14</v>
      </c>
      <c r="Z108" s="895" t="str">
        <f t="shared" ref="Z108:AE108" si="32">Z1</f>
        <v>total
R-yr6</v>
      </c>
      <c r="AA108" s="900" t="str">
        <f t="shared" si="32"/>
        <v>total
KS3</v>
      </c>
      <c r="AB108" s="900" t="str">
        <f t="shared" si="32"/>
        <v>total
KS4</v>
      </c>
      <c r="AC108" s="901" t="str">
        <f t="shared" si="32"/>
        <v>total
pre 16</v>
      </c>
      <c r="AD108" s="902" t="str">
        <f t="shared" si="32"/>
        <v>total
post 16</v>
      </c>
      <c r="AE108" s="903" t="str">
        <f t="shared" si="32"/>
        <v>total
all pupils</v>
      </c>
      <c r="AG108" s="825" t="s">
        <v>947</v>
      </c>
      <c r="AH108" s="825" t="s">
        <v>991</v>
      </c>
      <c r="AI108" s="825" t="s">
        <v>992</v>
      </c>
      <c r="AJ108" s="825" t="s">
        <v>901</v>
      </c>
      <c r="AK108" s="825" t="s">
        <v>902</v>
      </c>
      <c r="AL108" s="825" t="s">
        <v>955</v>
      </c>
      <c r="AM108" s="836" t="s">
        <v>956</v>
      </c>
      <c r="AN108" s="825" t="s">
        <v>517</v>
      </c>
    </row>
    <row r="109" spans="1:40" x14ac:dyDescent="0.2">
      <c r="B109" s="888" t="s">
        <v>959</v>
      </c>
      <c r="E109" s="904" t="s">
        <v>147</v>
      </c>
      <c r="F109" s="905">
        <f t="shared" ref="F109:U114" si="33">SUMIF($C:$C,$B109,F:F)</f>
        <v>4</v>
      </c>
      <c r="G109" s="906">
        <f t="shared" si="33"/>
        <v>0</v>
      </c>
      <c r="H109" s="907">
        <f t="shared" si="33"/>
        <v>0</v>
      </c>
      <c r="I109" s="907">
        <f t="shared" si="33"/>
        <v>0</v>
      </c>
      <c r="J109" s="906">
        <f t="shared" si="33"/>
        <v>0</v>
      </c>
      <c r="K109" s="907">
        <f t="shared" si="33"/>
        <v>0</v>
      </c>
      <c r="L109" s="907">
        <f t="shared" si="33"/>
        <v>0</v>
      </c>
      <c r="M109" s="907">
        <f t="shared" si="33"/>
        <v>0</v>
      </c>
      <c r="N109" s="907">
        <f t="shared" si="33"/>
        <v>0</v>
      </c>
      <c r="O109" s="908">
        <f t="shared" si="33"/>
        <v>0</v>
      </c>
      <c r="P109" s="908">
        <f t="shared" si="33"/>
        <v>0</v>
      </c>
      <c r="Q109" s="908">
        <f t="shared" si="33"/>
        <v>0</v>
      </c>
      <c r="R109" s="908">
        <f t="shared" si="33"/>
        <v>0</v>
      </c>
      <c r="S109" s="908">
        <f t="shared" si="33"/>
        <v>0</v>
      </c>
      <c r="T109" s="908">
        <f t="shared" si="33"/>
        <v>0</v>
      </c>
      <c r="U109" s="908">
        <f t="shared" si="33"/>
        <v>0</v>
      </c>
      <c r="V109" s="908">
        <f t="shared" ref="V109:AE114" si="34">SUMIF($C:$C,$B109,V:V)</f>
        <v>0</v>
      </c>
      <c r="W109" s="908">
        <f t="shared" si="34"/>
        <v>0</v>
      </c>
      <c r="X109" s="908">
        <f t="shared" si="34"/>
        <v>0</v>
      </c>
      <c r="Y109" s="909">
        <f t="shared" si="34"/>
        <v>0</v>
      </c>
      <c r="Z109" s="910">
        <f t="shared" si="34"/>
        <v>4</v>
      </c>
      <c r="AA109" s="911">
        <f t="shared" si="34"/>
        <v>0</v>
      </c>
      <c r="AB109" s="911">
        <f t="shared" si="34"/>
        <v>0</v>
      </c>
      <c r="AC109" s="912">
        <f t="shared" si="34"/>
        <v>4</v>
      </c>
      <c r="AD109" s="913">
        <f t="shared" si="34"/>
        <v>0</v>
      </c>
      <c r="AE109" s="914">
        <f t="shared" si="34"/>
        <v>4</v>
      </c>
      <c r="AG109" s="911">
        <f t="shared" ref="AG109:AN114" si="35">SUMIF($C:$C,$B109,AG:AG)</f>
        <v>4</v>
      </c>
      <c r="AH109" s="911">
        <f t="shared" si="35"/>
        <v>0</v>
      </c>
      <c r="AI109" s="911">
        <f t="shared" si="35"/>
        <v>0</v>
      </c>
      <c r="AJ109" s="911">
        <f t="shared" si="35"/>
        <v>0</v>
      </c>
      <c r="AK109" s="911">
        <f t="shared" si="35"/>
        <v>0</v>
      </c>
      <c r="AL109" s="911">
        <f t="shared" si="35"/>
        <v>0</v>
      </c>
      <c r="AM109" s="912">
        <f t="shared" si="35"/>
        <v>4</v>
      </c>
      <c r="AN109" s="911">
        <f t="shared" si="35"/>
        <v>4</v>
      </c>
    </row>
    <row r="110" spans="1:40" x14ac:dyDescent="0.2">
      <c r="B110" s="888" t="s">
        <v>117</v>
      </c>
      <c r="E110" s="904" t="s">
        <v>993</v>
      </c>
      <c r="F110" s="915">
        <f t="shared" si="33"/>
        <v>19</v>
      </c>
      <c r="G110" s="916">
        <f t="shared" si="33"/>
        <v>0</v>
      </c>
      <c r="H110" s="917">
        <f t="shared" si="33"/>
        <v>0</v>
      </c>
      <c r="I110" s="917">
        <f t="shared" si="33"/>
        <v>0</v>
      </c>
      <c r="J110" s="916">
        <f t="shared" si="33"/>
        <v>0</v>
      </c>
      <c r="K110" s="917">
        <f t="shared" si="33"/>
        <v>11</v>
      </c>
      <c r="L110" s="917">
        <f t="shared" si="33"/>
        <v>0</v>
      </c>
      <c r="M110" s="917">
        <f t="shared" si="33"/>
        <v>0</v>
      </c>
      <c r="N110" s="917">
        <f t="shared" si="33"/>
        <v>0</v>
      </c>
      <c r="O110" s="918">
        <f t="shared" si="33"/>
        <v>0</v>
      </c>
      <c r="P110" s="918">
        <f t="shared" si="33"/>
        <v>131</v>
      </c>
      <c r="Q110" s="918">
        <f t="shared" si="33"/>
        <v>136</v>
      </c>
      <c r="R110" s="918">
        <f t="shared" si="33"/>
        <v>118</v>
      </c>
      <c r="S110" s="918">
        <f t="shared" si="33"/>
        <v>0</v>
      </c>
      <c r="T110" s="918">
        <f t="shared" si="33"/>
        <v>132</v>
      </c>
      <c r="U110" s="918">
        <f t="shared" si="33"/>
        <v>145</v>
      </c>
      <c r="V110" s="918">
        <f t="shared" si="34"/>
        <v>0</v>
      </c>
      <c r="W110" s="918">
        <f t="shared" si="34"/>
        <v>63</v>
      </c>
      <c r="X110" s="918">
        <f t="shared" si="34"/>
        <v>17</v>
      </c>
      <c r="Y110" s="919">
        <f t="shared" si="34"/>
        <v>0</v>
      </c>
      <c r="Z110" s="920">
        <f t="shared" si="34"/>
        <v>30</v>
      </c>
      <c r="AA110" s="921">
        <f t="shared" si="34"/>
        <v>385</v>
      </c>
      <c r="AB110" s="921">
        <f t="shared" si="34"/>
        <v>277</v>
      </c>
      <c r="AC110" s="922">
        <f t="shared" si="34"/>
        <v>692</v>
      </c>
      <c r="AD110" s="923">
        <f t="shared" si="34"/>
        <v>80</v>
      </c>
      <c r="AE110" s="924">
        <f t="shared" si="34"/>
        <v>772</v>
      </c>
      <c r="AG110" s="921">
        <f t="shared" si="35"/>
        <v>19</v>
      </c>
      <c r="AH110" s="921">
        <f t="shared" si="35"/>
        <v>0</v>
      </c>
      <c r="AI110" s="921">
        <f t="shared" si="35"/>
        <v>11</v>
      </c>
      <c r="AJ110" s="921">
        <f t="shared" si="35"/>
        <v>385</v>
      </c>
      <c r="AK110" s="921">
        <f t="shared" si="35"/>
        <v>277</v>
      </c>
      <c r="AL110" s="921">
        <f t="shared" si="35"/>
        <v>80</v>
      </c>
      <c r="AM110" s="922">
        <f t="shared" si="35"/>
        <v>692</v>
      </c>
      <c r="AN110" s="921">
        <f t="shared" si="35"/>
        <v>772</v>
      </c>
    </row>
    <row r="111" spans="1:40" x14ac:dyDescent="0.2">
      <c r="B111" s="888" t="s">
        <v>266</v>
      </c>
      <c r="E111" s="904" t="s">
        <v>0</v>
      </c>
      <c r="F111" s="915">
        <f t="shared" si="33"/>
        <v>3309</v>
      </c>
      <c r="G111" s="916">
        <f t="shared" si="33"/>
        <v>-2</v>
      </c>
      <c r="H111" s="917">
        <f t="shared" si="33"/>
        <v>3319</v>
      </c>
      <c r="I111" s="917">
        <f t="shared" si="33"/>
        <v>3300</v>
      </c>
      <c r="J111" s="916">
        <f t="shared" si="33"/>
        <v>-5</v>
      </c>
      <c r="K111" s="917">
        <f t="shared" si="33"/>
        <v>3145</v>
      </c>
      <c r="L111" s="917">
        <f t="shared" si="33"/>
        <v>3042</v>
      </c>
      <c r="M111" s="917">
        <f t="shared" si="33"/>
        <v>2916</v>
      </c>
      <c r="N111" s="917">
        <f t="shared" si="33"/>
        <v>2938</v>
      </c>
      <c r="O111" s="918">
        <f t="shared" si="33"/>
        <v>-7</v>
      </c>
      <c r="P111" s="918">
        <f t="shared" si="33"/>
        <v>0</v>
      </c>
      <c r="Q111" s="918">
        <f t="shared" si="33"/>
        <v>0</v>
      </c>
      <c r="R111" s="918">
        <f t="shared" si="33"/>
        <v>0</v>
      </c>
      <c r="S111" s="918">
        <f t="shared" si="33"/>
        <v>0</v>
      </c>
      <c r="T111" s="918">
        <f t="shared" si="33"/>
        <v>0</v>
      </c>
      <c r="U111" s="918">
        <f t="shared" si="33"/>
        <v>0</v>
      </c>
      <c r="V111" s="918">
        <f t="shared" si="34"/>
        <v>0</v>
      </c>
      <c r="W111" s="918">
        <f t="shared" si="34"/>
        <v>0</v>
      </c>
      <c r="X111" s="918">
        <f t="shared" si="34"/>
        <v>0</v>
      </c>
      <c r="Y111" s="919">
        <f t="shared" si="34"/>
        <v>0</v>
      </c>
      <c r="Z111" s="920">
        <f t="shared" si="34"/>
        <v>21955</v>
      </c>
      <c r="AA111" s="921">
        <f t="shared" si="34"/>
        <v>0</v>
      </c>
      <c r="AB111" s="921">
        <f t="shared" si="34"/>
        <v>0</v>
      </c>
      <c r="AC111" s="922">
        <f t="shared" si="34"/>
        <v>21955</v>
      </c>
      <c r="AD111" s="923">
        <f t="shared" si="34"/>
        <v>0</v>
      </c>
      <c r="AE111" s="924">
        <f t="shared" si="34"/>
        <v>21955</v>
      </c>
      <c r="AG111" s="921">
        <f t="shared" si="35"/>
        <v>3307</v>
      </c>
      <c r="AH111" s="921">
        <f t="shared" si="35"/>
        <v>6614</v>
      </c>
      <c r="AI111" s="921">
        <f t="shared" si="35"/>
        <v>12034</v>
      </c>
      <c r="AJ111" s="921">
        <f t="shared" si="35"/>
        <v>0</v>
      </c>
      <c r="AK111" s="921">
        <f t="shared" si="35"/>
        <v>0</v>
      </c>
      <c r="AL111" s="921">
        <f t="shared" si="35"/>
        <v>0</v>
      </c>
      <c r="AM111" s="922">
        <f t="shared" si="35"/>
        <v>21955</v>
      </c>
      <c r="AN111" s="921">
        <f t="shared" si="35"/>
        <v>21955</v>
      </c>
    </row>
    <row r="112" spans="1:40" x14ac:dyDescent="0.2">
      <c r="B112" s="888" t="s">
        <v>203</v>
      </c>
      <c r="E112" s="904" t="s">
        <v>1</v>
      </c>
      <c r="F112" s="915">
        <f t="shared" si="33"/>
        <v>0</v>
      </c>
      <c r="G112" s="916">
        <f t="shared" si="33"/>
        <v>0</v>
      </c>
      <c r="H112" s="917">
        <f t="shared" si="33"/>
        <v>0</v>
      </c>
      <c r="I112" s="917">
        <f t="shared" si="33"/>
        <v>0</v>
      </c>
      <c r="J112" s="916">
        <f t="shared" si="33"/>
        <v>0</v>
      </c>
      <c r="K112" s="917">
        <f t="shared" si="33"/>
        <v>0</v>
      </c>
      <c r="L112" s="917">
        <f t="shared" si="33"/>
        <v>0</v>
      </c>
      <c r="M112" s="917">
        <f t="shared" si="33"/>
        <v>0</v>
      </c>
      <c r="N112" s="917">
        <f t="shared" si="33"/>
        <v>0</v>
      </c>
      <c r="O112" s="918">
        <f t="shared" si="33"/>
        <v>0</v>
      </c>
      <c r="P112" s="918">
        <f t="shared" si="33"/>
        <v>2720</v>
      </c>
      <c r="Q112" s="918">
        <f t="shared" si="33"/>
        <v>2612</v>
      </c>
      <c r="R112" s="918">
        <f t="shared" si="33"/>
        <v>2664</v>
      </c>
      <c r="S112" s="918">
        <f t="shared" si="33"/>
        <v>-4</v>
      </c>
      <c r="T112" s="918">
        <f t="shared" si="33"/>
        <v>2648</v>
      </c>
      <c r="U112" s="918">
        <f t="shared" si="33"/>
        <v>2748</v>
      </c>
      <c r="V112" s="918">
        <f t="shared" si="34"/>
        <v>-3</v>
      </c>
      <c r="W112" s="918">
        <f t="shared" si="34"/>
        <v>1063</v>
      </c>
      <c r="X112" s="918">
        <f t="shared" si="34"/>
        <v>873</v>
      </c>
      <c r="Y112" s="919">
        <f t="shared" si="34"/>
        <v>28</v>
      </c>
      <c r="Z112" s="920">
        <f t="shared" si="34"/>
        <v>0</v>
      </c>
      <c r="AA112" s="921">
        <f t="shared" si="34"/>
        <v>7992</v>
      </c>
      <c r="AB112" s="921">
        <f t="shared" si="34"/>
        <v>5393</v>
      </c>
      <c r="AC112" s="922">
        <f t="shared" si="34"/>
        <v>13385</v>
      </c>
      <c r="AD112" s="923">
        <f t="shared" si="34"/>
        <v>1964</v>
      </c>
      <c r="AE112" s="924">
        <f t="shared" si="34"/>
        <v>15349</v>
      </c>
      <c r="AG112" s="921">
        <f t="shared" si="35"/>
        <v>0</v>
      </c>
      <c r="AH112" s="921">
        <f t="shared" si="35"/>
        <v>0</v>
      </c>
      <c r="AI112" s="921">
        <f t="shared" si="35"/>
        <v>0</v>
      </c>
      <c r="AJ112" s="921">
        <f t="shared" si="35"/>
        <v>7992</v>
      </c>
      <c r="AK112" s="921">
        <f t="shared" si="35"/>
        <v>5393</v>
      </c>
      <c r="AL112" s="921">
        <f t="shared" si="35"/>
        <v>1964</v>
      </c>
      <c r="AM112" s="922">
        <f t="shared" si="35"/>
        <v>13385</v>
      </c>
      <c r="AN112" s="921">
        <f t="shared" si="35"/>
        <v>15349</v>
      </c>
    </row>
    <row r="113" spans="1:41" x14ac:dyDescent="0.2">
      <c r="B113" s="888" t="s">
        <v>661</v>
      </c>
      <c r="E113" s="904" t="s">
        <v>994</v>
      </c>
      <c r="F113" s="915">
        <f t="shared" si="33"/>
        <v>16</v>
      </c>
      <c r="G113" s="916">
        <f t="shared" si="33"/>
        <v>0</v>
      </c>
      <c r="H113" s="917">
        <f t="shared" si="33"/>
        <v>19</v>
      </c>
      <c r="I113" s="917">
        <f t="shared" si="33"/>
        <v>15</v>
      </c>
      <c r="J113" s="916">
        <f t="shared" si="33"/>
        <v>0</v>
      </c>
      <c r="K113" s="917">
        <f t="shared" si="33"/>
        <v>26</v>
      </c>
      <c r="L113" s="917">
        <f t="shared" si="33"/>
        <v>26</v>
      </c>
      <c r="M113" s="917">
        <f t="shared" si="33"/>
        <v>26</v>
      </c>
      <c r="N113" s="917">
        <f t="shared" si="33"/>
        <v>21</v>
      </c>
      <c r="O113" s="918">
        <f t="shared" si="33"/>
        <v>0</v>
      </c>
      <c r="P113" s="918">
        <f t="shared" si="33"/>
        <v>51</v>
      </c>
      <c r="Q113" s="918">
        <f t="shared" si="33"/>
        <v>61</v>
      </c>
      <c r="R113" s="918">
        <f t="shared" si="33"/>
        <v>57</v>
      </c>
      <c r="S113" s="918">
        <f t="shared" si="33"/>
        <v>0</v>
      </c>
      <c r="T113" s="918">
        <f t="shared" si="33"/>
        <v>79</v>
      </c>
      <c r="U113" s="918">
        <f t="shared" si="33"/>
        <v>74</v>
      </c>
      <c r="V113" s="918">
        <f t="shared" si="34"/>
        <v>0</v>
      </c>
      <c r="W113" s="918">
        <f t="shared" si="34"/>
        <v>34</v>
      </c>
      <c r="X113" s="918">
        <f t="shared" si="34"/>
        <v>29</v>
      </c>
      <c r="Y113" s="919">
        <f t="shared" si="34"/>
        <v>21</v>
      </c>
      <c r="Z113" s="920">
        <f t="shared" si="34"/>
        <v>149</v>
      </c>
      <c r="AA113" s="921">
        <f t="shared" si="34"/>
        <v>169</v>
      </c>
      <c r="AB113" s="921">
        <f t="shared" si="34"/>
        <v>153</v>
      </c>
      <c r="AC113" s="922">
        <f t="shared" si="34"/>
        <v>471</v>
      </c>
      <c r="AD113" s="923">
        <f t="shared" si="34"/>
        <v>84</v>
      </c>
      <c r="AE113" s="924">
        <f t="shared" si="34"/>
        <v>555</v>
      </c>
      <c r="AG113" s="921">
        <f t="shared" si="35"/>
        <v>16</v>
      </c>
      <c r="AH113" s="921">
        <f t="shared" si="35"/>
        <v>34</v>
      </c>
      <c r="AI113" s="921">
        <f t="shared" si="35"/>
        <v>99</v>
      </c>
      <c r="AJ113" s="921">
        <f t="shared" si="35"/>
        <v>169</v>
      </c>
      <c r="AK113" s="921">
        <f t="shared" si="35"/>
        <v>153</v>
      </c>
      <c r="AL113" s="921">
        <f t="shared" si="35"/>
        <v>84</v>
      </c>
      <c r="AM113" s="922">
        <f t="shared" si="35"/>
        <v>471</v>
      </c>
      <c r="AN113" s="921">
        <f t="shared" si="35"/>
        <v>555</v>
      </c>
    </row>
    <row r="114" spans="1:41" s="824" customFormat="1" ht="13.5" thickBot="1" x14ac:dyDescent="0.25">
      <c r="B114" s="888" t="s">
        <v>963</v>
      </c>
      <c r="C114" s="888"/>
      <c r="D114" s="888"/>
      <c r="E114" s="904" t="s">
        <v>995</v>
      </c>
      <c r="F114" s="925">
        <f t="shared" si="33"/>
        <v>0</v>
      </c>
      <c r="G114" s="926">
        <f t="shared" si="33"/>
        <v>0</v>
      </c>
      <c r="H114" s="927">
        <f t="shared" si="33"/>
        <v>0</v>
      </c>
      <c r="I114" s="927">
        <f t="shared" si="33"/>
        <v>3</v>
      </c>
      <c r="J114" s="926">
        <f t="shared" si="33"/>
        <v>0</v>
      </c>
      <c r="K114" s="927">
        <f t="shared" si="33"/>
        <v>0</v>
      </c>
      <c r="L114" s="927">
        <f t="shared" si="33"/>
        <v>5</v>
      </c>
      <c r="M114" s="927">
        <f t="shared" si="33"/>
        <v>7</v>
      </c>
      <c r="N114" s="927">
        <f t="shared" si="33"/>
        <v>4</v>
      </c>
      <c r="O114" s="928">
        <f t="shared" si="33"/>
        <v>0</v>
      </c>
      <c r="P114" s="928">
        <f t="shared" si="33"/>
        <v>2</v>
      </c>
      <c r="Q114" s="928">
        <f t="shared" si="33"/>
        <v>5</v>
      </c>
      <c r="R114" s="928">
        <f t="shared" si="33"/>
        <v>9</v>
      </c>
      <c r="S114" s="928">
        <f t="shared" si="33"/>
        <v>0</v>
      </c>
      <c r="T114" s="928">
        <f t="shared" si="33"/>
        <v>30</v>
      </c>
      <c r="U114" s="928">
        <f t="shared" si="33"/>
        <v>47</v>
      </c>
      <c r="V114" s="928">
        <f t="shared" si="34"/>
        <v>0</v>
      </c>
      <c r="W114" s="928">
        <f t="shared" si="34"/>
        <v>0</v>
      </c>
      <c r="X114" s="928">
        <f t="shared" si="34"/>
        <v>0</v>
      </c>
      <c r="Y114" s="929">
        <f t="shared" si="34"/>
        <v>0</v>
      </c>
      <c r="Z114" s="930">
        <f t="shared" si="34"/>
        <v>108</v>
      </c>
      <c r="AA114" s="931">
        <f t="shared" si="34"/>
        <v>16</v>
      </c>
      <c r="AB114" s="931">
        <f t="shared" si="34"/>
        <v>77</v>
      </c>
      <c r="AC114" s="932">
        <f t="shared" si="34"/>
        <v>112</v>
      </c>
      <c r="AD114" s="933">
        <f t="shared" si="34"/>
        <v>0</v>
      </c>
      <c r="AE114" s="934">
        <f t="shared" si="34"/>
        <v>112</v>
      </c>
      <c r="AG114" s="931">
        <f t="shared" si="35"/>
        <v>0</v>
      </c>
      <c r="AH114" s="931">
        <f t="shared" si="35"/>
        <v>3</v>
      </c>
      <c r="AI114" s="931">
        <f t="shared" si="35"/>
        <v>16</v>
      </c>
      <c r="AJ114" s="931">
        <f t="shared" si="35"/>
        <v>16</v>
      </c>
      <c r="AK114" s="931">
        <f t="shared" si="35"/>
        <v>77</v>
      </c>
      <c r="AL114" s="931">
        <f t="shared" si="35"/>
        <v>0</v>
      </c>
      <c r="AM114" s="932">
        <f t="shared" si="35"/>
        <v>112</v>
      </c>
      <c r="AN114" s="931">
        <f t="shared" si="35"/>
        <v>112</v>
      </c>
    </row>
    <row r="115" spans="1:41" s="824" customFormat="1" ht="14.25" thickTop="1" thickBot="1" x14ac:dyDescent="0.25">
      <c r="B115" s="888"/>
      <c r="C115" s="888"/>
      <c r="D115" s="888"/>
      <c r="E115" s="875"/>
      <c r="F115" s="935">
        <f t="shared" ref="F115:AN115" si="36">SUM(F109:F114)</f>
        <v>3348</v>
      </c>
      <c r="G115" s="936">
        <f t="shared" si="36"/>
        <v>-2</v>
      </c>
      <c r="H115" s="830">
        <f t="shared" si="36"/>
        <v>3338</v>
      </c>
      <c r="I115" s="830">
        <f t="shared" si="36"/>
        <v>3318</v>
      </c>
      <c r="J115" s="936">
        <f t="shared" si="36"/>
        <v>-5</v>
      </c>
      <c r="K115" s="830">
        <f t="shared" si="36"/>
        <v>3182</v>
      </c>
      <c r="L115" s="830">
        <f t="shared" si="36"/>
        <v>3073</v>
      </c>
      <c r="M115" s="830">
        <f t="shared" si="36"/>
        <v>2949</v>
      </c>
      <c r="N115" s="830">
        <f t="shared" si="36"/>
        <v>2963</v>
      </c>
      <c r="O115" s="833">
        <f t="shared" si="36"/>
        <v>-7</v>
      </c>
      <c r="P115" s="833">
        <f t="shared" si="36"/>
        <v>2904</v>
      </c>
      <c r="Q115" s="833">
        <f t="shared" si="36"/>
        <v>2814</v>
      </c>
      <c r="R115" s="833">
        <f t="shared" si="36"/>
        <v>2848</v>
      </c>
      <c r="S115" s="833">
        <f t="shared" si="36"/>
        <v>-4</v>
      </c>
      <c r="T115" s="833">
        <f t="shared" si="36"/>
        <v>2889</v>
      </c>
      <c r="U115" s="833">
        <f t="shared" si="36"/>
        <v>3014</v>
      </c>
      <c r="V115" s="833">
        <f t="shared" si="36"/>
        <v>-3</v>
      </c>
      <c r="W115" s="833">
        <f t="shared" si="36"/>
        <v>1160</v>
      </c>
      <c r="X115" s="833">
        <f t="shared" si="36"/>
        <v>919</v>
      </c>
      <c r="Y115" s="937">
        <f t="shared" si="36"/>
        <v>49</v>
      </c>
      <c r="Z115" s="935">
        <f t="shared" si="36"/>
        <v>22246</v>
      </c>
      <c r="AA115" s="833">
        <f t="shared" si="36"/>
        <v>8562</v>
      </c>
      <c r="AB115" s="833">
        <f t="shared" si="36"/>
        <v>5900</v>
      </c>
      <c r="AC115" s="938">
        <f t="shared" si="36"/>
        <v>36619</v>
      </c>
      <c r="AD115" s="937">
        <f t="shared" si="36"/>
        <v>2128</v>
      </c>
      <c r="AE115" s="939">
        <f t="shared" si="36"/>
        <v>38747</v>
      </c>
      <c r="AG115" s="833">
        <f t="shared" si="36"/>
        <v>3346</v>
      </c>
      <c r="AH115" s="833">
        <f t="shared" si="36"/>
        <v>6651</v>
      </c>
      <c r="AI115" s="833">
        <f t="shared" si="36"/>
        <v>12160</v>
      </c>
      <c r="AJ115" s="833">
        <f t="shared" si="36"/>
        <v>8562</v>
      </c>
      <c r="AK115" s="833">
        <f t="shared" si="36"/>
        <v>5900</v>
      </c>
      <c r="AL115" s="833">
        <f t="shared" si="36"/>
        <v>2128</v>
      </c>
      <c r="AM115" s="938">
        <f t="shared" si="36"/>
        <v>36619</v>
      </c>
      <c r="AN115" s="833">
        <f t="shared" si="36"/>
        <v>38747</v>
      </c>
    </row>
    <row r="116" spans="1:41" x14ac:dyDescent="0.2">
      <c r="A116" s="875"/>
      <c r="AC116" s="940"/>
      <c r="AM116" s="941"/>
    </row>
    <row r="117" spans="1:41" s="824" customFormat="1" x14ac:dyDescent="0.2">
      <c r="B117" s="942"/>
      <c r="C117" s="942"/>
      <c r="D117" s="942"/>
      <c r="E117" s="943" t="s">
        <v>996</v>
      </c>
      <c r="F117" s="944">
        <f>F109</f>
        <v>4</v>
      </c>
      <c r="G117" s="945">
        <f>G109</f>
        <v>0</v>
      </c>
      <c r="H117" s="944">
        <f t="shared" ref="H117:AE117" si="37">H109</f>
        <v>0</v>
      </c>
      <c r="I117" s="944">
        <f t="shared" si="37"/>
        <v>0</v>
      </c>
      <c r="J117" s="945">
        <f>J109</f>
        <v>0</v>
      </c>
      <c r="K117" s="944">
        <f t="shared" si="37"/>
        <v>0</v>
      </c>
      <c r="L117" s="944">
        <f t="shared" si="37"/>
        <v>0</v>
      </c>
      <c r="M117" s="944">
        <f t="shared" si="37"/>
        <v>0</v>
      </c>
      <c r="N117" s="944">
        <f t="shared" si="37"/>
        <v>0</v>
      </c>
      <c r="O117" s="945">
        <f t="shared" si="37"/>
        <v>0</v>
      </c>
      <c r="P117" s="945">
        <f t="shared" si="37"/>
        <v>0</v>
      </c>
      <c r="Q117" s="945">
        <f t="shared" si="37"/>
        <v>0</v>
      </c>
      <c r="R117" s="945">
        <f t="shared" si="37"/>
        <v>0</v>
      </c>
      <c r="S117" s="945">
        <f t="shared" si="37"/>
        <v>0</v>
      </c>
      <c r="T117" s="945">
        <f t="shared" si="37"/>
        <v>0</v>
      </c>
      <c r="U117" s="945">
        <f t="shared" si="37"/>
        <v>0</v>
      </c>
      <c r="V117" s="945">
        <f t="shared" si="37"/>
        <v>0</v>
      </c>
      <c r="W117" s="945">
        <f t="shared" si="37"/>
        <v>0</v>
      </c>
      <c r="X117" s="945">
        <f t="shared" si="37"/>
        <v>0</v>
      </c>
      <c r="Y117" s="945">
        <f t="shared" si="37"/>
        <v>0</v>
      </c>
      <c r="Z117" s="946">
        <f t="shared" si="37"/>
        <v>4</v>
      </c>
      <c r="AA117" s="947">
        <f t="shared" si="37"/>
        <v>0</v>
      </c>
      <c r="AB117" s="947">
        <f t="shared" si="37"/>
        <v>0</v>
      </c>
      <c r="AC117" s="948">
        <f t="shared" si="37"/>
        <v>4</v>
      </c>
      <c r="AD117" s="949">
        <f t="shared" si="37"/>
        <v>0</v>
      </c>
      <c r="AE117" s="944">
        <f t="shared" si="37"/>
        <v>4</v>
      </c>
      <c r="AF117" s="943"/>
      <c r="AG117" s="945">
        <f>AG109</f>
        <v>4</v>
      </c>
      <c r="AH117" s="945">
        <f t="shared" ref="AH117:AN117" si="38">AH109</f>
        <v>0</v>
      </c>
      <c r="AI117" s="945">
        <f t="shared" si="38"/>
        <v>0</v>
      </c>
      <c r="AJ117" s="945">
        <f t="shared" si="38"/>
        <v>0</v>
      </c>
      <c r="AK117" s="945">
        <f t="shared" si="38"/>
        <v>0</v>
      </c>
      <c r="AL117" s="945">
        <f t="shared" si="38"/>
        <v>0</v>
      </c>
      <c r="AM117" s="950">
        <f t="shared" si="38"/>
        <v>4</v>
      </c>
      <c r="AN117" s="945">
        <f t="shared" si="38"/>
        <v>4</v>
      </c>
      <c r="AO117" s="951"/>
    </row>
    <row r="118" spans="1:41" s="824" customFormat="1" x14ac:dyDescent="0.2">
      <c r="B118" s="942"/>
      <c r="C118" s="942"/>
      <c r="D118" s="942"/>
      <c r="E118" s="943" t="s">
        <v>997</v>
      </c>
      <c r="F118" s="944">
        <f>F113</f>
        <v>16</v>
      </c>
      <c r="G118" s="945">
        <f>G113</f>
        <v>0</v>
      </c>
      <c r="H118" s="944">
        <f t="shared" ref="H118:AE119" si="39">H113</f>
        <v>19</v>
      </c>
      <c r="I118" s="944">
        <f t="shared" si="39"/>
        <v>15</v>
      </c>
      <c r="J118" s="945">
        <f>J113</f>
        <v>0</v>
      </c>
      <c r="K118" s="944">
        <f t="shared" si="39"/>
        <v>26</v>
      </c>
      <c r="L118" s="944">
        <f t="shared" si="39"/>
        <v>26</v>
      </c>
      <c r="M118" s="944">
        <f t="shared" si="39"/>
        <v>26</v>
      </c>
      <c r="N118" s="944">
        <f t="shared" si="39"/>
        <v>21</v>
      </c>
      <c r="O118" s="945">
        <f t="shared" si="39"/>
        <v>0</v>
      </c>
      <c r="P118" s="945">
        <f t="shared" si="39"/>
        <v>51</v>
      </c>
      <c r="Q118" s="945">
        <f t="shared" si="39"/>
        <v>61</v>
      </c>
      <c r="R118" s="945">
        <f t="shared" si="39"/>
        <v>57</v>
      </c>
      <c r="S118" s="945">
        <f t="shared" si="39"/>
        <v>0</v>
      </c>
      <c r="T118" s="945">
        <f t="shared" si="39"/>
        <v>79</v>
      </c>
      <c r="U118" s="945">
        <f t="shared" si="39"/>
        <v>74</v>
      </c>
      <c r="V118" s="945">
        <f t="shared" si="39"/>
        <v>0</v>
      </c>
      <c r="W118" s="945">
        <f t="shared" si="39"/>
        <v>34</v>
      </c>
      <c r="X118" s="945">
        <f t="shared" si="39"/>
        <v>29</v>
      </c>
      <c r="Y118" s="945">
        <f t="shared" si="39"/>
        <v>21</v>
      </c>
      <c r="Z118" s="946">
        <f t="shared" si="39"/>
        <v>149</v>
      </c>
      <c r="AA118" s="947">
        <f t="shared" si="39"/>
        <v>169</v>
      </c>
      <c r="AB118" s="947">
        <f t="shared" si="39"/>
        <v>153</v>
      </c>
      <c r="AC118" s="948">
        <f t="shared" si="39"/>
        <v>471</v>
      </c>
      <c r="AD118" s="949">
        <f t="shared" si="39"/>
        <v>84</v>
      </c>
      <c r="AE118" s="944">
        <f t="shared" si="39"/>
        <v>555</v>
      </c>
      <c r="AF118" s="943"/>
      <c r="AG118" s="945">
        <f>AG113</f>
        <v>16</v>
      </c>
      <c r="AH118" s="945">
        <f t="shared" ref="AH118:AN119" si="40">AH113</f>
        <v>34</v>
      </c>
      <c r="AI118" s="945">
        <f t="shared" si="40"/>
        <v>99</v>
      </c>
      <c r="AJ118" s="945">
        <f t="shared" si="40"/>
        <v>169</v>
      </c>
      <c r="AK118" s="945">
        <f t="shared" si="40"/>
        <v>153</v>
      </c>
      <c r="AL118" s="945">
        <f t="shared" si="40"/>
        <v>84</v>
      </c>
      <c r="AM118" s="950">
        <f t="shared" si="40"/>
        <v>471</v>
      </c>
      <c r="AN118" s="945">
        <f t="shared" si="40"/>
        <v>555</v>
      </c>
      <c r="AO118" s="951"/>
    </row>
    <row r="119" spans="1:41" s="824" customFormat="1" x14ac:dyDescent="0.2">
      <c r="B119" s="942"/>
      <c r="C119" s="942"/>
      <c r="D119" s="942"/>
      <c r="E119" s="943" t="s">
        <v>998</v>
      </c>
      <c r="F119" s="952">
        <f>F114</f>
        <v>0</v>
      </c>
      <c r="G119" s="942">
        <f>G114</f>
        <v>0</v>
      </c>
      <c r="H119" s="952">
        <f t="shared" si="39"/>
        <v>0</v>
      </c>
      <c r="I119" s="952">
        <f t="shared" si="39"/>
        <v>3</v>
      </c>
      <c r="J119" s="942">
        <f>J114</f>
        <v>0</v>
      </c>
      <c r="K119" s="952">
        <f t="shared" si="39"/>
        <v>0</v>
      </c>
      <c r="L119" s="952">
        <f t="shared" si="39"/>
        <v>5</v>
      </c>
      <c r="M119" s="952">
        <f t="shared" si="39"/>
        <v>7</v>
      </c>
      <c r="N119" s="952">
        <f t="shared" si="39"/>
        <v>4</v>
      </c>
      <c r="O119" s="942">
        <f t="shared" si="39"/>
        <v>0</v>
      </c>
      <c r="P119" s="942">
        <f t="shared" si="39"/>
        <v>2</v>
      </c>
      <c r="Q119" s="942">
        <f t="shared" si="39"/>
        <v>5</v>
      </c>
      <c r="R119" s="942">
        <f t="shared" si="39"/>
        <v>9</v>
      </c>
      <c r="S119" s="942">
        <f t="shared" si="39"/>
        <v>0</v>
      </c>
      <c r="T119" s="942">
        <f t="shared" si="39"/>
        <v>30</v>
      </c>
      <c r="U119" s="942">
        <f t="shared" si="39"/>
        <v>47</v>
      </c>
      <c r="V119" s="942">
        <f t="shared" si="39"/>
        <v>0</v>
      </c>
      <c r="W119" s="942">
        <f t="shared" si="39"/>
        <v>0</v>
      </c>
      <c r="X119" s="942">
        <f t="shared" si="39"/>
        <v>0</v>
      </c>
      <c r="Y119" s="942">
        <f t="shared" si="39"/>
        <v>0</v>
      </c>
      <c r="Z119" s="953">
        <f t="shared" si="39"/>
        <v>108</v>
      </c>
      <c r="AA119" s="954">
        <f t="shared" si="39"/>
        <v>16</v>
      </c>
      <c r="AB119" s="954">
        <f t="shared" si="39"/>
        <v>77</v>
      </c>
      <c r="AC119" s="955">
        <f t="shared" si="39"/>
        <v>112</v>
      </c>
      <c r="AD119" s="956">
        <f t="shared" si="39"/>
        <v>0</v>
      </c>
      <c r="AE119" s="952">
        <f t="shared" si="39"/>
        <v>112</v>
      </c>
      <c r="AF119" s="943"/>
      <c r="AG119" s="942">
        <f>AG114</f>
        <v>0</v>
      </c>
      <c r="AH119" s="942">
        <f t="shared" si="40"/>
        <v>3</v>
      </c>
      <c r="AI119" s="942">
        <f t="shared" si="40"/>
        <v>16</v>
      </c>
      <c r="AJ119" s="942">
        <f t="shared" si="40"/>
        <v>16</v>
      </c>
      <c r="AK119" s="942">
        <f t="shared" si="40"/>
        <v>77</v>
      </c>
      <c r="AL119" s="942">
        <f t="shared" si="40"/>
        <v>0</v>
      </c>
      <c r="AM119" s="957">
        <f t="shared" si="40"/>
        <v>112</v>
      </c>
      <c r="AN119" s="942">
        <f t="shared" si="40"/>
        <v>112</v>
      </c>
      <c r="AO119" s="951"/>
    </row>
    <row r="120" spans="1:41" x14ac:dyDescent="0.2">
      <c r="A120" s="875"/>
      <c r="E120" s="958"/>
      <c r="F120" s="890"/>
      <c r="G120" s="825"/>
      <c r="H120" s="890"/>
      <c r="I120" s="890"/>
      <c r="J120" s="825"/>
      <c r="K120" s="890"/>
      <c r="L120" s="890"/>
      <c r="M120" s="890"/>
      <c r="N120" s="890"/>
      <c r="O120" s="825"/>
      <c r="P120" s="825"/>
      <c r="Q120" s="825"/>
      <c r="R120" s="825"/>
      <c r="S120" s="825"/>
      <c r="T120" s="825"/>
      <c r="U120" s="825"/>
      <c r="V120" s="825"/>
      <c r="W120" s="825"/>
      <c r="X120" s="825"/>
      <c r="Y120" s="825"/>
      <c r="Z120" s="959"/>
      <c r="AA120" s="960"/>
      <c r="AB120" s="960"/>
      <c r="AC120" s="961"/>
      <c r="AD120" s="962"/>
      <c r="AF120" s="958"/>
      <c r="AG120" s="825"/>
      <c r="AH120" s="825"/>
      <c r="AI120" s="825"/>
      <c r="AJ120" s="825"/>
      <c r="AK120" s="825"/>
      <c r="AL120" s="825"/>
      <c r="AM120" s="940"/>
      <c r="AN120" s="825"/>
    </row>
    <row r="121" spans="1:41" s="824" customFormat="1" ht="13.5" thickBot="1" x14ac:dyDescent="0.25">
      <c r="B121" s="888"/>
      <c r="C121" s="888"/>
      <c r="D121" s="888"/>
      <c r="E121" s="958" t="s">
        <v>999</v>
      </c>
      <c r="F121" s="963">
        <f>F115-F117-F118-F119</f>
        <v>3328</v>
      </c>
      <c r="G121" s="964">
        <f>G115-G117-G118-G119</f>
        <v>-2</v>
      </c>
      <c r="H121" s="963">
        <f t="shared" ref="H121:AE121" si="41">H115-H117-H118-H119</f>
        <v>3319</v>
      </c>
      <c r="I121" s="963">
        <f t="shared" si="41"/>
        <v>3300</v>
      </c>
      <c r="J121" s="964">
        <f>J115-J117-J118-J119</f>
        <v>-5</v>
      </c>
      <c r="K121" s="963">
        <f t="shared" si="41"/>
        <v>3156</v>
      </c>
      <c r="L121" s="963">
        <f t="shared" si="41"/>
        <v>3042</v>
      </c>
      <c r="M121" s="963">
        <f t="shared" si="41"/>
        <v>2916</v>
      </c>
      <c r="N121" s="963">
        <f t="shared" si="41"/>
        <v>2938</v>
      </c>
      <c r="O121" s="964">
        <f t="shared" si="41"/>
        <v>-7</v>
      </c>
      <c r="P121" s="964">
        <f t="shared" si="41"/>
        <v>2851</v>
      </c>
      <c r="Q121" s="964">
        <f t="shared" si="41"/>
        <v>2748</v>
      </c>
      <c r="R121" s="964">
        <f t="shared" si="41"/>
        <v>2782</v>
      </c>
      <c r="S121" s="964">
        <f t="shared" si="41"/>
        <v>-4</v>
      </c>
      <c r="T121" s="964">
        <f t="shared" si="41"/>
        <v>2780</v>
      </c>
      <c r="U121" s="964">
        <f t="shared" si="41"/>
        <v>2893</v>
      </c>
      <c r="V121" s="964">
        <f t="shared" si="41"/>
        <v>-3</v>
      </c>
      <c r="W121" s="964">
        <f t="shared" si="41"/>
        <v>1126</v>
      </c>
      <c r="X121" s="964">
        <f t="shared" si="41"/>
        <v>890</v>
      </c>
      <c r="Y121" s="964">
        <f t="shared" si="41"/>
        <v>28</v>
      </c>
      <c r="Z121" s="965">
        <f t="shared" si="41"/>
        <v>21985</v>
      </c>
      <c r="AA121" s="964">
        <f t="shared" si="41"/>
        <v>8377</v>
      </c>
      <c r="AB121" s="964">
        <f t="shared" si="41"/>
        <v>5670</v>
      </c>
      <c r="AC121" s="966">
        <f t="shared" si="41"/>
        <v>36032</v>
      </c>
      <c r="AD121" s="967">
        <f t="shared" si="41"/>
        <v>2044</v>
      </c>
      <c r="AE121" s="963">
        <f t="shared" si="41"/>
        <v>38076</v>
      </c>
      <c r="AF121" s="958"/>
      <c r="AG121" s="964">
        <f>AG115-AG117-AG118-AG119</f>
        <v>3326</v>
      </c>
      <c r="AH121" s="964">
        <f t="shared" ref="AH121:AN121" si="42">AH115-AH117-AH118-AH119</f>
        <v>6614</v>
      </c>
      <c r="AI121" s="964">
        <f t="shared" si="42"/>
        <v>12045</v>
      </c>
      <c r="AJ121" s="964">
        <f t="shared" si="42"/>
        <v>8377</v>
      </c>
      <c r="AK121" s="964">
        <f t="shared" si="42"/>
        <v>5670</v>
      </c>
      <c r="AL121" s="964">
        <f t="shared" si="42"/>
        <v>2044</v>
      </c>
      <c r="AM121" s="966">
        <f t="shared" si="42"/>
        <v>36032</v>
      </c>
      <c r="AN121" s="964">
        <f t="shared" si="42"/>
        <v>38076</v>
      </c>
    </row>
    <row r="122" spans="1:41" ht="13.5" thickTop="1" x14ac:dyDescent="0.2">
      <c r="A122" s="875"/>
      <c r="F122" s="952"/>
      <c r="G122" s="942"/>
      <c r="H122" s="952"/>
      <c r="I122" s="952"/>
      <c r="J122" s="942"/>
      <c r="K122" s="952"/>
      <c r="L122" s="952"/>
      <c r="M122" s="952"/>
      <c r="N122" s="952"/>
      <c r="O122" s="942"/>
      <c r="P122" s="942"/>
      <c r="Q122" s="942"/>
      <c r="R122" s="942"/>
      <c r="S122" s="942"/>
      <c r="T122" s="942"/>
      <c r="U122" s="942"/>
      <c r="V122" s="942"/>
      <c r="AF122" s="888"/>
    </row>
    <row r="123" spans="1:41" x14ac:dyDescent="0.2">
      <c r="A123" s="875"/>
    </row>
    <row r="124" spans="1:41" x14ac:dyDescent="0.2">
      <c r="A124" s="875"/>
    </row>
    <row r="125" spans="1:41" x14ac:dyDescent="0.2">
      <c r="A125" s="875"/>
    </row>
    <row r="128" spans="1:41" x14ac:dyDescent="0.2">
      <c r="B128" s="79">
        <v>206189</v>
      </c>
      <c r="E128" s="79" t="s">
        <v>249</v>
      </c>
      <c r="F128" s="79"/>
    </row>
    <row r="129" spans="2:6" x14ac:dyDescent="0.2">
      <c r="B129" s="94">
        <v>2012</v>
      </c>
      <c r="E129" s="1158" t="s">
        <v>10</v>
      </c>
      <c r="F129" s="94"/>
    </row>
    <row r="130" spans="2:6" x14ac:dyDescent="0.2">
      <c r="B130" s="94">
        <v>5414</v>
      </c>
      <c r="E130" s="1158" t="s">
        <v>73</v>
      </c>
      <c r="F130" s="94"/>
    </row>
    <row r="131" spans="2:6" x14ac:dyDescent="0.2">
      <c r="B131" s="94">
        <v>4000</v>
      </c>
      <c r="E131" s="1158" t="s">
        <v>912</v>
      </c>
      <c r="F131" s="94"/>
    </row>
    <row r="132" spans="2:6" x14ac:dyDescent="0.2">
      <c r="B132" s="79">
        <v>2443</v>
      </c>
      <c r="E132" s="79" t="s">
        <v>11</v>
      </c>
      <c r="F132" s="79"/>
    </row>
    <row r="133" spans="2:6" x14ac:dyDescent="0.2">
      <c r="B133" s="94">
        <v>2442</v>
      </c>
      <c r="E133" s="1158" t="s">
        <v>94</v>
      </c>
      <c r="F133" s="94"/>
    </row>
    <row r="134" spans="2:6" x14ac:dyDescent="0.2">
      <c r="B134" s="80" t="s">
        <v>253</v>
      </c>
      <c r="E134" s="80" t="s">
        <v>252</v>
      </c>
      <c r="F134" s="80"/>
    </row>
    <row r="135" spans="2:6" x14ac:dyDescent="0.2">
      <c r="B135" s="79">
        <v>2629</v>
      </c>
      <c r="E135" s="79" t="s">
        <v>13</v>
      </c>
      <c r="F135" s="79"/>
    </row>
    <row r="136" spans="2:6" x14ac:dyDescent="0.2">
      <c r="B136" s="94">
        <v>2509</v>
      </c>
      <c r="E136" s="1158" t="s">
        <v>14</v>
      </c>
      <c r="F136" s="94"/>
    </row>
    <row r="137" spans="2:6" x14ac:dyDescent="0.2">
      <c r="B137" s="79">
        <v>1014</v>
      </c>
      <c r="E137" s="79" t="s">
        <v>2</v>
      </c>
      <c r="F137" s="79"/>
    </row>
    <row r="138" spans="2:6" x14ac:dyDescent="0.2">
      <c r="B138" s="94">
        <v>2005</v>
      </c>
      <c r="E138" s="1158" t="s">
        <v>15</v>
      </c>
      <c r="F138" s="94"/>
    </row>
    <row r="139" spans="2:6" x14ac:dyDescent="0.2">
      <c r="B139" s="79">
        <v>2464</v>
      </c>
      <c r="E139" s="79" t="s">
        <v>16</v>
      </c>
      <c r="F139" s="79"/>
    </row>
    <row r="140" spans="2:6" x14ac:dyDescent="0.2">
      <c r="B140" s="697" t="s">
        <v>765</v>
      </c>
      <c r="E140" s="661" t="s">
        <v>763</v>
      </c>
      <c r="F140" s="697"/>
    </row>
    <row r="141" spans="2:6" x14ac:dyDescent="0.2">
      <c r="B141" s="79">
        <v>2004</v>
      </c>
      <c r="E141" s="79" t="s">
        <v>17</v>
      </c>
      <c r="F141" s="79"/>
    </row>
    <row r="142" spans="2:6" x14ac:dyDescent="0.2">
      <c r="B142" s="79">
        <v>2405</v>
      </c>
      <c r="E142" s="79" t="s">
        <v>18</v>
      </c>
      <c r="F142" s="79"/>
    </row>
    <row r="143" spans="2:6" x14ac:dyDescent="0.2">
      <c r="B143" s="79" t="s">
        <v>256</v>
      </c>
      <c r="E143" s="79" t="s">
        <v>254</v>
      </c>
      <c r="F143" s="79"/>
    </row>
    <row r="144" spans="2:6" ht="15" x14ac:dyDescent="0.25">
      <c r="B144" s="1162" t="s">
        <v>766</v>
      </c>
      <c r="E144" s="1160" t="s">
        <v>261</v>
      </c>
      <c r="F144" s="1162"/>
    </row>
    <row r="145" spans="2:6" x14ac:dyDescent="0.2">
      <c r="B145" s="1164" t="s">
        <v>258</v>
      </c>
      <c r="E145" s="1163" t="s">
        <v>257</v>
      </c>
      <c r="F145" s="1164"/>
    </row>
    <row r="146" spans="2:6" x14ac:dyDescent="0.2">
      <c r="B146" s="1165" t="s">
        <v>260</v>
      </c>
      <c r="E146" s="1160" t="s">
        <v>259</v>
      </c>
      <c r="F146" s="1165"/>
    </row>
    <row r="147" spans="2:6" x14ac:dyDescent="0.2">
      <c r="B147" s="79">
        <v>2011</v>
      </c>
      <c r="E147" s="79" t="s">
        <v>19</v>
      </c>
      <c r="F147" s="79"/>
    </row>
    <row r="148" spans="2:6" x14ac:dyDescent="0.2">
      <c r="B148" s="80" t="s">
        <v>263</v>
      </c>
      <c r="E148" s="80" t="s">
        <v>262</v>
      </c>
      <c r="F148" s="80"/>
    </row>
    <row r="149" spans="2:6" x14ac:dyDescent="0.2">
      <c r="B149" s="79">
        <v>5201</v>
      </c>
      <c r="E149" s="79" t="s">
        <v>20</v>
      </c>
      <c r="F149" s="79"/>
    </row>
    <row r="150" spans="2:6" x14ac:dyDescent="0.2">
      <c r="B150" s="79">
        <v>206124</v>
      </c>
      <c r="E150" s="79" t="s">
        <v>264</v>
      </c>
      <c r="F150" s="79"/>
    </row>
    <row r="151" spans="2:6" x14ac:dyDescent="0.2">
      <c r="B151" s="79">
        <v>2433</v>
      </c>
      <c r="E151" s="79" t="s">
        <v>21</v>
      </c>
      <c r="F151" s="79"/>
    </row>
    <row r="152" spans="2:6" x14ac:dyDescent="0.2">
      <c r="B152" s="94">
        <v>2432</v>
      </c>
      <c r="E152" s="1158" t="s">
        <v>22</v>
      </c>
      <c r="F152" s="94"/>
    </row>
    <row r="153" spans="2:6" x14ac:dyDescent="0.2">
      <c r="B153" s="79" t="s">
        <v>269</v>
      </c>
      <c r="E153" s="79" t="s">
        <v>267</v>
      </c>
      <c r="F153" s="79"/>
    </row>
    <row r="154" spans="2:6" x14ac:dyDescent="0.2">
      <c r="B154" s="79">
        <v>2447</v>
      </c>
      <c r="E154" s="79" t="s">
        <v>199</v>
      </c>
      <c r="F154" s="79"/>
    </row>
    <row r="155" spans="2:6" x14ac:dyDescent="0.2">
      <c r="B155" s="79">
        <v>2512</v>
      </c>
      <c r="E155" s="79" t="s">
        <v>23</v>
      </c>
      <c r="F155" s="79"/>
    </row>
    <row r="156" spans="2:6" x14ac:dyDescent="0.2">
      <c r="B156" s="79">
        <v>206126</v>
      </c>
      <c r="E156" s="79" t="s">
        <v>270</v>
      </c>
      <c r="F156" s="79"/>
    </row>
    <row r="157" spans="2:6" x14ac:dyDescent="0.2">
      <c r="B157" s="79">
        <v>206111</v>
      </c>
      <c r="E157" s="79" t="s">
        <v>272</v>
      </c>
      <c r="F157" s="79"/>
    </row>
    <row r="158" spans="2:6" x14ac:dyDescent="0.2">
      <c r="B158" s="79">
        <v>206091</v>
      </c>
      <c r="E158" s="79" t="s">
        <v>274</v>
      </c>
      <c r="F158" s="79"/>
    </row>
    <row r="159" spans="2:6" x14ac:dyDescent="0.2">
      <c r="B159" s="79">
        <v>2456</v>
      </c>
      <c r="E159" s="79" t="s">
        <v>24</v>
      </c>
      <c r="F159" s="79"/>
    </row>
    <row r="160" spans="2:6" x14ac:dyDescent="0.2">
      <c r="B160" s="79">
        <v>1017</v>
      </c>
      <c r="E160" s="79" t="s">
        <v>3</v>
      </c>
      <c r="F160" s="79"/>
    </row>
    <row r="161" spans="2:6" x14ac:dyDescent="0.2">
      <c r="B161" s="79">
        <v>2449</v>
      </c>
      <c r="E161" s="79" t="s">
        <v>25</v>
      </c>
      <c r="F161" s="79"/>
    </row>
    <row r="162" spans="2:6" x14ac:dyDescent="0.2">
      <c r="B162" s="79">
        <v>2448</v>
      </c>
      <c r="E162" s="1158" t="s">
        <v>26</v>
      </c>
      <c r="F162" s="79"/>
    </row>
    <row r="163" spans="2:6" x14ac:dyDescent="0.2">
      <c r="B163" s="79">
        <v>1006</v>
      </c>
      <c r="E163" s="79" t="s">
        <v>4</v>
      </c>
      <c r="F163" s="79"/>
    </row>
    <row r="164" spans="2:6" x14ac:dyDescent="0.2">
      <c r="B164" s="79">
        <v>2467</v>
      </c>
      <c r="E164" s="79" t="s">
        <v>27</v>
      </c>
      <c r="F164" s="79"/>
    </row>
    <row r="165" spans="2:6" x14ac:dyDescent="0.2">
      <c r="B165" s="94">
        <v>5402</v>
      </c>
      <c r="E165" s="1158" t="s">
        <v>75</v>
      </c>
      <c r="F165" s="94"/>
    </row>
    <row r="166" spans="2:6" x14ac:dyDescent="0.2">
      <c r="B166" s="94">
        <v>2455</v>
      </c>
      <c r="E166" s="1158" t="s">
        <v>28</v>
      </c>
      <c r="F166" s="94"/>
    </row>
    <row r="167" spans="2:6" x14ac:dyDescent="0.2">
      <c r="B167" s="94">
        <v>5203</v>
      </c>
      <c r="E167" s="1158" t="s">
        <v>29</v>
      </c>
      <c r="F167" s="94"/>
    </row>
    <row r="168" spans="2:6" x14ac:dyDescent="0.2">
      <c r="B168" s="79">
        <v>2451</v>
      </c>
      <c r="E168" s="107" t="s">
        <v>30</v>
      </c>
      <c r="F168" s="79"/>
    </row>
    <row r="169" spans="2:6" x14ac:dyDescent="0.2">
      <c r="B169" s="80" t="s">
        <v>277</v>
      </c>
      <c r="E169" s="80" t="s">
        <v>276</v>
      </c>
      <c r="F169" s="80"/>
    </row>
    <row r="170" spans="2:6" x14ac:dyDescent="0.2">
      <c r="B170" s="79">
        <v>206128</v>
      </c>
      <c r="E170" s="79" t="s">
        <v>278</v>
      </c>
      <c r="F170" s="79"/>
    </row>
    <row r="171" spans="2:6" x14ac:dyDescent="0.2">
      <c r="B171" s="94">
        <v>4002</v>
      </c>
      <c r="E171" s="1158" t="s">
        <v>452</v>
      </c>
      <c r="F171" s="94"/>
    </row>
    <row r="172" spans="2:6" x14ac:dyDescent="0.2">
      <c r="B172" s="79">
        <v>2430</v>
      </c>
      <c r="E172" s="456" t="s">
        <v>455</v>
      </c>
      <c r="F172" s="79"/>
    </row>
    <row r="173" spans="2:6" x14ac:dyDescent="0.2">
      <c r="B173" s="1169" t="s">
        <v>769</v>
      </c>
      <c r="E173" s="1167" t="s">
        <v>768</v>
      </c>
      <c r="F173" s="1169"/>
    </row>
    <row r="174" spans="2:6" x14ac:dyDescent="0.2">
      <c r="B174" s="94">
        <v>4608</v>
      </c>
      <c r="E174" s="1158" t="s">
        <v>68</v>
      </c>
      <c r="F174" s="94"/>
    </row>
    <row r="175" spans="2:6" x14ac:dyDescent="0.2">
      <c r="B175" s="94">
        <v>2409</v>
      </c>
      <c r="E175" s="1158" t="s">
        <v>31</v>
      </c>
      <c r="F175" s="94"/>
    </row>
    <row r="176" spans="2:6" ht="25.5" x14ac:dyDescent="0.2">
      <c r="B176" s="1168" t="s">
        <v>282</v>
      </c>
      <c r="E176" s="1170" t="s">
        <v>281</v>
      </c>
      <c r="F176" s="1168"/>
    </row>
    <row r="177" spans="2:6" ht="25.5" x14ac:dyDescent="0.2">
      <c r="B177" s="1173" t="s">
        <v>771</v>
      </c>
      <c r="E177" s="1171" t="s">
        <v>1401</v>
      </c>
      <c r="F177" s="1173"/>
    </row>
    <row r="178" spans="2:6" x14ac:dyDescent="0.2">
      <c r="B178" s="96">
        <v>205921</v>
      </c>
      <c r="E178" s="1174" t="s">
        <v>539</v>
      </c>
      <c r="F178" s="96"/>
    </row>
    <row r="179" spans="2:6" x14ac:dyDescent="0.2">
      <c r="B179" s="1154" t="s">
        <v>776</v>
      </c>
      <c r="E179" s="1171" t="s">
        <v>1372</v>
      </c>
      <c r="F179" s="1154"/>
    </row>
    <row r="180" spans="2:6" x14ac:dyDescent="0.2">
      <c r="B180" s="96">
        <v>205999</v>
      </c>
      <c r="E180" s="1174" t="s">
        <v>538</v>
      </c>
      <c r="F180" s="96"/>
    </row>
    <row r="181" spans="2:6" x14ac:dyDescent="0.2">
      <c r="B181" s="95" t="s">
        <v>283</v>
      </c>
      <c r="E181" s="96" t="s">
        <v>537</v>
      </c>
      <c r="F181" s="95"/>
    </row>
    <row r="182" spans="2:6" x14ac:dyDescent="0.2">
      <c r="B182" s="1153">
        <v>206065</v>
      </c>
      <c r="E182" s="1171" t="s">
        <v>1373</v>
      </c>
      <c r="F182" s="1153"/>
    </row>
    <row r="183" spans="2:6" x14ac:dyDescent="0.2">
      <c r="B183" s="1154" t="s">
        <v>787</v>
      </c>
      <c r="E183" s="1175" t="s">
        <v>1375</v>
      </c>
      <c r="F183" s="1154"/>
    </row>
    <row r="184" spans="2:6" x14ac:dyDescent="0.2">
      <c r="B184" s="1176" t="s">
        <v>288</v>
      </c>
      <c r="E184" s="456" t="s">
        <v>589</v>
      </c>
      <c r="F184" s="1176"/>
    </row>
    <row r="185" spans="2:6" x14ac:dyDescent="0.2">
      <c r="B185" s="96">
        <v>205922</v>
      </c>
      <c r="E185" s="1177" t="s">
        <v>540</v>
      </c>
      <c r="F185" s="96"/>
    </row>
    <row r="186" spans="2:6" x14ac:dyDescent="0.2">
      <c r="B186" s="1154" t="s">
        <v>784</v>
      </c>
      <c r="E186" s="456" t="s">
        <v>587</v>
      </c>
      <c r="F186" s="1154"/>
    </row>
    <row r="187" spans="2:6" x14ac:dyDescent="0.2">
      <c r="B187" s="1154" t="s">
        <v>781</v>
      </c>
      <c r="E187" s="1171" t="s">
        <v>1374</v>
      </c>
      <c r="F187" s="1154"/>
    </row>
    <row r="188" spans="2:6" x14ac:dyDescent="0.2">
      <c r="B188" s="1178">
        <v>205919</v>
      </c>
      <c r="E188" s="1171" t="s">
        <v>1376</v>
      </c>
      <c r="F188" s="1178"/>
    </row>
    <row r="189" spans="2:6" x14ac:dyDescent="0.2">
      <c r="B189" s="95" t="s">
        <v>287</v>
      </c>
      <c r="E189" s="96" t="s">
        <v>541</v>
      </c>
      <c r="F189" s="95"/>
    </row>
    <row r="190" spans="2:6" x14ac:dyDescent="0.2">
      <c r="B190" s="1179" t="s">
        <v>791</v>
      </c>
      <c r="E190" s="1171" t="s">
        <v>1377</v>
      </c>
      <c r="F190" s="1179"/>
    </row>
    <row r="191" spans="2:6" x14ac:dyDescent="0.2">
      <c r="B191" s="1169" t="s">
        <v>793</v>
      </c>
      <c r="E191" s="1171" t="s">
        <v>1378</v>
      </c>
      <c r="F191" s="1169"/>
    </row>
    <row r="192" spans="2:6" x14ac:dyDescent="0.2">
      <c r="B192" s="1154" t="s">
        <v>796</v>
      </c>
      <c r="E192" s="1180" t="s">
        <v>1380</v>
      </c>
      <c r="F192" s="1154"/>
    </row>
    <row r="193" spans="2:6" x14ac:dyDescent="0.2">
      <c r="B193" s="697">
        <v>205849</v>
      </c>
      <c r="E193" s="1181" t="s">
        <v>1379</v>
      </c>
      <c r="F193" s="697"/>
    </row>
    <row r="194" spans="2:6" x14ac:dyDescent="0.2">
      <c r="B194" s="1176" t="s">
        <v>284</v>
      </c>
      <c r="E194" s="456" t="s">
        <v>594</v>
      </c>
      <c r="F194" s="1176"/>
    </row>
    <row r="195" spans="2:6" x14ac:dyDescent="0.2">
      <c r="B195" s="1154" t="s">
        <v>798</v>
      </c>
      <c r="E195" s="1182" t="s">
        <v>1381</v>
      </c>
      <c r="F195" s="1154"/>
    </row>
    <row r="196" spans="2:6" x14ac:dyDescent="0.2">
      <c r="B196" s="1184">
        <v>205922</v>
      </c>
      <c r="E196" s="1183" t="s">
        <v>1385</v>
      </c>
      <c r="F196" s="1184"/>
    </row>
    <row r="197" spans="2:6" x14ac:dyDescent="0.2">
      <c r="B197" s="1179">
        <v>205881</v>
      </c>
      <c r="E197" s="1185" t="s">
        <v>1384</v>
      </c>
      <c r="F197" s="1179"/>
    </row>
    <row r="198" spans="2:6" x14ac:dyDescent="0.2">
      <c r="B198" s="1187" t="s">
        <v>801</v>
      </c>
      <c r="E198" s="1186" t="s">
        <v>1382</v>
      </c>
      <c r="F198" s="1187"/>
    </row>
    <row r="199" spans="2:6" x14ac:dyDescent="0.2">
      <c r="B199" s="96" t="s">
        <v>289</v>
      </c>
      <c r="E199" s="1174" t="s">
        <v>542</v>
      </c>
      <c r="F199" s="96"/>
    </row>
    <row r="200" spans="2:6" x14ac:dyDescent="0.2">
      <c r="B200" s="1179" t="s">
        <v>806</v>
      </c>
      <c r="E200" s="1171" t="s">
        <v>1383</v>
      </c>
      <c r="F200" s="1179"/>
    </row>
    <row r="201" spans="2:6" x14ac:dyDescent="0.2">
      <c r="B201" s="1179" t="s">
        <v>808</v>
      </c>
      <c r="E201" s="1185" t="s">
        <v>807</v>
      </c>
      <c r="F201" s="1179"/>
    </row>
    <row r="202" spans="2:6" x14ac:dyDescent="0.2">
      <c r="B202" s="1189" t="s">
        <v>811</v>
      </c>
      <c r="E202" s="1185" t="s">
        <v>1386</v>
      </c>
      <c r="F202" s="1189"/>
    </row>
    <row r="203" spans="2:6" x14ac:dyDescent="0.2">
      <c r="B203" s="96">
        <v>2</v>
      </c>
      <c r="E203" s="1181" t="s">
        <v>543</v>
      </c>
      <c r="F203" s="96"/>
    </row>
    <row r="204" spans="2:6" x14ac:dyDescent="0.2">
      <c r="B204" s="1150" t="s">
        <v>668</v>
      </c>
      <c r="E204" s="1192" t="s">
        <v>1387</v>
      </c>
      <c r="F204" s="1150"/>
    </row>
    <row r="205" spans="2:6" x14ac:dyDescent="0.2">
      <c r="B205" s="1179" t="s">
        <v>686</v>
      </c>
      <c r="E205" s="693" t="s">
        <v>1388</v>
      </c>
      <c r="F205" s="1179"/>
    </row>
    <row r="206" spans="2:6" x14ac:dyDescent="0.2">
      <c r="B206" s="1184">
        <v>205956</v>
      </c>
      <c r="E206" s="96" t="s">
        <v>544</v>
      </c>
      <c r="F206" s="1184"/>
    </row>
    <row r="207" spans="2:6" x14ac:dyDescent="0.2">
      <c r="B207" s="1169">
        <v>260849</v>
      </c>
      <c r="E207" s="702" t="s">
        <v>1389</v>
      </c>
      <c r="F207" s="1169"/>
    </row>
    <row r="208" spans="2:6" x14ac:dyDescent="0.2">
      <c r="B208" s="1169" t="s">
        <v>818</v>
      </c>
      <c r="E208" s="693" t="s">
        <v>1390</v>
      </c>
      <c r="F208" s="1169"/>
    </row>
    <row r="209" spans="2:6" x14ac:dyDescent="0.2">
      <c r="B209" s="1165" t="s">
        <v>291</v>
      </c>
      <c r="E209" s="1193" t="s">
        <v>1391</v>
      </c>
      <c r="F209" s="1165"/>
    </row>
    <row r="210" spans="2:6" x14ac:dyDescent="0.2">
      <c r="B210" s="1154" t="s">
        <v>821</v>
      </c>
      <c r="E210" s="1145" t="s">
        <v>1392</v>
      </c>
      <c r="F210" s="1154"/>
    </row>
    <row r="211" spans="2:6" x14ac:dyDescent="0.2">
      <c r="B211" s="1154" t="s">
        <v>825</v>
      </c>
      <c r="E211" s="1142" t="s">
        <v>1394</v>
      </c>
      <c r="F211" s="1154"/>
    </row>
    <row r="212" spans="2:6" x14ac:dyDescent="0.2">
      <c r="B212" s="1189" t="s">
        <v>823</v>
      </c>
      <c r="E212" s="1142" t="s">
        <v>1393</v>
      </c>
      <c r="F212" s="1189"/>
    </row>
    <row r="213" spans="2:6" x14ac:dyDescent="0.2">
      <c r="B213" s="1154" t="s">
        <v>830</v>
      </c>
      <c r="E213" s="583" t="s">
        <v>1396</v>
      </c>
      <c r="F213" s="1154"/>
    </row>
    <row r="214" spans="2:6" x14ac:dyDescent="0.2">
      <c r="B214" s="1154" t="s">
        <v>827</v>
      </c>
      <c r="E214" s="1143" t="s">
        <v>1395</v>
      </c>
      <c r="F214" s="1154"/>
    </row>
    <row r="215" spans="2:6" x14ac:dyDescent="0.2">
      <c r="B215" s="95" t="s">
        <v>293</v>
      </c>
      <c r="E215" s="1181" t="s">
        <v>591</v>
      </c>
      <c r="F215" s="95"/>
    </row>
    <row r="216" spans="2:6" x14ac:dyDescent="0.2">
      <c r="B216" s="697" t="s">
        <v>833</v>
      </c>
      <c r="E216" s="1142" t="s">
        <v>1402</v>
      </c>
      <c r="F216" s="697"/>
    </row>
    <row r="217" spans="2:6" x14ac:dyDescent="0.2">
      <c r="B217" s="1154" t="s">
        <v>835</v>
      </c>
      <c r="E217" s="1142" t="s">
        <v>1403</v>
      </c>
      <c r="F217" s="1154"/>
    </row>
    <row r="218" spans="2:6" x14ac:dyDescent="0.2">
      <c r="B218" s="95" t="s">
        <v>295</v>
      </c>
      <c r="E218" s="1174" t="s">
        <v>547</v>
      </c>
      <c r="F218" s="95"/>
    </row>
    <row r="219" spans="2:6" x14ac:dyDescent="0.2">
      <c r="B219" s="1154">
        <v>206031</v>
      </c>
      <c r="E219" s="1148" t="s">
        <v>1397</v>
      </c>
      <c r="F219" s="1154"/>
    </row>
    <row r="220" spans="2:6" x14ac:dyDescent="0.2">
      <c r="B220" s="95" t="s">
        <v>296</v>
      </c>
      <c r="E220" s="1174" t="s">
        <v>546</v>
      </c>
      <c r="F220" s="95"/>
    </row>
    <row r="221" spans="2:6" x14ac:dyDescent="0.2">
      <c r="B221" s="95" t="s">
        <v>294</v>
      </c>
      <c r="E221" s="96" t="s">
        <v>545</v>
      </c>
      <c r="F221" s="95"/>
    </row>
    <row r="222" spans="2:6" x14ac:dyDescent="0.2">
      <c r="B222" s="1154" t="s">
        <v>840</v>
      </c>
      <c r="E222" s="1143" t="s">
        <v>1398</v>
      </c>
      <c r="F222" s="1154"/>
    </row>
    <row r="223" spans="2:6" x14ac:dyDescent="0.2">
      <c r="B223" s="95" t="s">
        <v>298</v>
      </c>
      <c r="E223" s="96" t="s">
        <v>1371</v>
      </c>
      <c r="F223" s="95"/>
    </row>
    <row r="224" spans="2:6" x14ac:dyDescent="0.2">
      <c r="B224" s="1179" t="s">
        <v>844</v>
      </c>
      <c r="E224" s="1143" t="s">
        <v>1407</v>
      </c>
      <c r="F224" s="1179"/>
    </row>
    <row r="225" spans="2:6" x14ac:dyDescent="0.2">
      <c r="B225" s="1184">
        <v>206043</v>
      </c>
      <c r="E225" s="1181" t="s">
        <v>592</v>
      </c>
      <c r="F225" s="1184"/>
    </row>
    <row r="226" spans="2:6" x14ac:dyDescent="0.2">
      <c r="B226" s="95" t="s">
        <v>299</v>
      </c>
      <c r="E226" s="1177" t="s">
        <v>548</v>
      </c>
      <c r="F226" s="95"/>
    </row>
    <row r="227" spans="2:6" x14ac:dyDescent="0.2">
      <c r="B227" s="1195" t="s">
        <v>292</v>
      </c>
      <c r="E227" s="1194" t="s">
        <v>590</v>
      </c>
      <c r="F227" s="1195"/>
    </row>
    <row r="228" spans="2:6" x14ac:dyDescent="0.2">
      <c r="B228" s="1197" t="s">
        <v>297</v>
      </c>
      <c r="E228" s="1196" t="s">
        <v>593</v>
      </c>
      <c r="F228" s="1197"/>
    </row>
    <row r="229" spans="2:6" x14ac:dyDescent="0.2">
      <c r="B229" s="1154">
        <v>206067</v>
      </c>
      <c r="E229" s="1143" t="s">
        <v>1406</v>
      </c>
      <c r="F229" s="1154"/>
    </row>
    <row r="230" spans="2:6" ht="15" x14ac:dyDescent="0.2">
      <c r="B230" s="97" t="s">
        <v>300</v>
      </c>
      <c r="E230" s="1177" t="s">
        <v>549</v>
      </c>
      <c r="F230" s="97"/>
    </row>
    <row r="231" spans="2:6" x14ac:dyDescent="0.2">
      <c r="B231" s="1191" t="s">
        <v>290</v>
      </c>
      <c r="E231" s="1190" t="s">
        <v>1400</v>
      </c>
      <c r="F231" s="1191"/>
    </row>
    <row r="232" spans="2:6" x14ac:dyDescent="0.2">
      <c r="B232" s="98" t="s">
        <v>301</v>
      </c>
      <c r="E232" s="1198" t="s">
        <v>550</v>
      </c>
      <c r="F232" s="98"/>
    </row>
    <row r="233" spans="2:6" x14ac:dyDescent="0.2">
      <c r="B233" s="1209" t="s">
        <v>854</v>
      </c>
      <c r="E233" s="1147" t="s">
        <v>1404</v>
      </c>
      <c r="F233" s="1209"/>
    </row>
    <row r="234" spans="2:6" x14ac:dyDescent="0.2">
      <c r="B234" s="1176" t="s">
        <v>285</v>
      </c>
      <c r="E234" s="456" t="s">
        <v>595</v>
      </c>
      <c r="F234" s="1176"/>
    </row>
    <row r="235" spans="2:6" x14ac:dyDescent="0.2">
      <c r="B235" s="1209" t="s">
        <v>856</v>
      </c>
      <c r="E235" s="1147" t="s">
        <v>1405</v>
      </c>
      <c r="F235" s="1209"/>
    </row>
    <row r="236" spans="2:6" ht="25.5" x14ac:dyDescent="0.2">
      <c r="B236" s="88" t="s">
        <v>303</v>
      </c>
      <c r="E236" s="87" t="s">
        <v>302</v>
      </c>
      <c r="F236" s="88"/>
    </row>
    <row r="237" spans="2:6" x14ac:dyDescent="0.2">
      <c r="B237" s="79" t="s">
        <v>306</v>
      </c>
      <c r="E237" s="79" t="s">
        <v>304</v>
      </c>
      <c r="F237" s="79"/>
    </row>
    <row r="238" spans="2:6" x14ac:dyDescent="0.2">
      <c r="B238" s="1169" t="s">
        <v>859</v>
      </c>
      <c r="E238" s="1144" t="s">
        <v>858</v>
      </c>
      <c r="F238" s="1169"/>
    </row>
    <row r="239" spans="2:6" x14ac:dyDescent="0.2">
      <c r="B239" s="94">
        <v>4178</v>
      </c>
      <c r="E239" s="1158" t="s">
        <v>111</v>
      </c>
      <c r="F239" s="94"/>
    </row>
    <row r="240" spans="2:6" x14ac:dyDescent="0.2">
      <c r="B240" s="94">
        <v>3158</v>
      </c>
      <c r="E240" s="1158" t="s">
        <v>98</v>
      </c>
      <c r="F240" s="94"/>
    </row>
    <row r="241" spans="2:6" x14ac:dyDescent="0.2">
      <c r="B241" s="79">
        <v>2619</v>
      </c>
      <c r="E241" s="79" t="s">
        <v>32</v>
      </c>
      <c r="F241" s="79"/>
    </row>
    <row r="242" spans="2:6" x14ac:dyDescent="0.2">
      <c r="B242" s="1154" t="s">
        <v>861</v>
      </c>
      <c r="E242" s="1141" t="s">
        <v>860</v>
      </c>
      <c r="F242" s="1154"/>
    </row>
    <row r="243" spans="2:6" x14ac:dyDescent="0.2">
      <c r="B243" s="80" t="s">
        <v>308</v>
      </c>
      <c r="E243" s="79" t="s">
        <v>307</v>
      </c>
      <c r="F243" s="80"/>
    </row>
    <row r="244" spans="2:6" x14ac:dyDescent="0.2">
      <c r="B244" s="79">
        <v>258417</v>
      </c>
      <c r="E244" s="79" t="s">
        <v>309</v>
      </c>
      <c r="F244" s="79"/>
    </row>
    <row r="245" spans="2:6" x14ac:dyDescent="0.2">
      <c r="B245" s="79" t="s">
        <v>313</v>
      </c>
      <c r="E245" s="79" t="s">
        <v>311</v>
      </c>
      <c r="F245" s="79"/>
    </row>
    <row r="246" spans="2:6" x14ac:dyDescent="0.2">
      <c r="B246" s="79" t="s">
        <v>316</v>
      </c>
      <c r="E246" s="79" t="s">
        <v>314</v>
      </c>
      <c r="F246" s="79"/>
    </row>
    <row r="247" spans="2:6" x14ac:dyDescent="0.2">
      <c r="B247" s="79">
        <v>2518</v>
      </c>
      <c r="E247" s="79" t="s">
        <v>33</v>
      </c>
      <c r="F247" s="79"/>
    </row>
    <row r="248" spans="2:6" x14ac:dyDescent="0.2">
      <c r="B248" s="1210" t="s">
        <v>863</v>
      </c>
      <c r="E248" s="1141" t="s">
        <v>862</v>
      </c>
      <c r="F248" s="1210"/>
    </row>
    <row r="249" spans="2:6" x14ac:dyDescent="0.2">
      <c r="B249" s="79">
        <v>206106</v>
      </c>
      <c r="E249" s="79" t="s">
        <v>317</v>
      </c>
      <c r="F249" s="79"/>
    </row>
    <row r="250" spans="2:6" x14ac:dyDescent="0.2">
      <c r="B250" s="80" t="s">
        <v>320</v>
      </c>
      <c r="E250" s="80" t="s">
        <v>319</v>
      </c>
      <c r="F250" s="80"/>
    </row>
    <row r="251" spans="2:6" x14ac:dyDescent="0.2">
      <c r="B251" s="1169" t="s">
        <v>865</v>
      </c>
      <c r="E251" s="1144" t="s">
        <v>864</v>
      </c>
      <c r="F251" s="1169"/>
    </row>
    <row r="252" spans="2:6" x14ac:dyDescent="0.2">
      <c r="B252" s="94">
        <v>2457</v>
      </c>
      <c r="E252" s="1158" t="s">
        <v>34</v>
      </c>
      <c r="F252" s="94"/>
    </row>
    <row r="253" spans="2:6" x14ac:dyDescent="0.2">
      <c r="B253" s="79">
        <v>2010</v>
      </c>
      <c r="E253" s="1158" t="s">
        <v>99</v>
      </c>
      <c r="F253" s="79"/>
    </row>
    <row r="254" spans="2:6" x14ac:dyDescent="0.2">
      <c r="B254" s="79">
        <v>2002</v>
      </c>
      <c r="E254" s="79" t="s">
        <v>35</v>
      </c>
      <c r="F254" s="79"/>
    </row>
    <row r="255" spans="2:6" x14ac:dyDescent="0.2">
      <c r="B255" s="79">
        <v>3544</v>
      </c>
      <c r="E255" s="79" t="s">
        <v>36</v>
      </c>
      <c r="F255" s="79"/>
    </row>
    <row r="256" spans="2:6" x14ac:dyDescent="0.2">
      <c r="B256" s="79">
        <v>1008</v>
      </c>
      <c r="E256" s="79" t="s">
        <v>5</v>
      </c>
      <c r="F256" s="79"/>
    </row>
    <row r="257" spans="2:6" x14ac:dyDescent="0.2">
      <c r="B257" s="79" t="s">
        <v>322</v>
      </c>
      <c r="E257" s="79" t="s">
        <v>321</v>
      </c>
      <c r="F257" s="79"/>
    </row>
    <row r="258" spans="2:6" x14ac:dyDescent="0.2">
      <c r="B258" s="79">
        <v>2006</v>
      </c>
      <c r="E258" s="79" t="s">
        <v>100</v>
      </c>
      <c r="F258" s="79"/>
    </row>
    <row r="259" spans="2:6" x14ac:dyDescent="0.2">
      <c r="B259" s="80" t="s">
        <v>324</v>
      </c>
      <c r="E259" s="80" t="s">
        <v>323</v>
      </c>
      <c r="F259" s="80"/>
    </row>
    <row r="260" spans="2:6" x14ac:dyDescent="0.2">
      <c r="B260" s="79">
        <v>206133</v>
      </c>
      <c r="E260" s="79" t="s">
        <v>325</v>
      </c>
      <c r="F260" s="79"/>
    </row>
    <row r="261" spans="2:6" x14ac:dyDescent="0.2">
      <c r="B261" s="1169" t="s">
        <v>868</v>
      </c>
      <c r="E261" s="1149" t="s">
        <v>867</v>
      </c>
      <c r="F261" s="1169"/>
    </row>
    <row r="262" spans="2:6" x14ac:dyDescent="0.2">
      <c r="B262" s="79" t="s">
        <v>329</v>
      </c>
      <c r="E262" s="79" t="s">
        <v>327</v>
      </c>
      <c r="F262" s="79"/>
    </row>
    <row r="263" spans="2:6" x14ac:dyDescent="0.2">
      <c r="B263" s="79">
        <v>206134</v>
      </c>
      <c r="E263" s="79" t="s">
        <v>330</v>
      </c>
      <c r="F263" s="79"/>
    </row>
    <row r="264" spans="2:6" x14ac:dyDescent="0.2">
      <c r="B264" s="79" t="s">
        <v>335</v>
      </c>
      <c r="E264" s="79" t="s">
        <v>334</v>
      </c>
      <c r="F264" s="79"/>
    </row>
    <row r="265" spans="2:6" x14ac:dyDescent="0.2">
      <c r="B265" s="1200" t="s">
        <v>333</v>
      </c>
      <c r="E265" s="1199" t="s">
        <v>332</v>
      </c>
      <c r="F265" s="1200"/>
    </row>
    <row r="266" spans="2:6" x14ac:dyDescent="0.2">
      <c r="B266" s="79" t="s">
        <v>337</v>
      </c>
      <c r="E266" s="79" t="s">
        <v>336</v>
      </c>
      <c r="F266" s="79"/>
    </row>
    <row r="267" spans="2:6" x14ac:dyDescent="0.2">
      <c r="B267" s="79">
        <v>206109</v>
      </c>
      <c r="E267" s="79" t="s">
        <v>338</v>
      </c>
      <c r="F267" s="79"/>
    </row>
    <row r="268" spans="2:6" x14ac:dyDescent="0.2">
      <c r="B268" s="79">
        <v>2434</v>
      </c>
      <c r="E268" s="79" t="s">
        <v>37</v>
      </c>
      <c r="F268" s="79"/>
    </row>
    <row r="269" spans="2:6" x14ac:dyDescent="0.2">
      <c r="B269" s="147">
        <v>6905</v>
      </c>
      <c r="E269" s="1161" t="s">
        <v>597</v>
      </c>
      <c r="F269" s="147"/>
    </row>
    <row r="270" spans="2:6" x14ac:dyDescent="0.2">
      <c r="B270" s="94">
        <v>2009</v>
      </c>
      <c r="E270" s="1158" t="s">
        <v>42</v>
      </c>
      <c r="F270" s="94"/>
    </row>
    <row r="271" spans="2:6" x14ac:dyDescent="0.2">
      <c r="B271" s="94">
        <v>2522</v>
      </c>
      <c r="E271" s="1158" t="s">
        <v>38</v>
      </c>
      <c r="F271" s="94"/>
    </row>
    <row r="272" spans="2:6" x14ac:dyDescent="0.2">
      <c r="B272" s="79">
        <v>206110</v>
      </c>
      <c r="E272" s="79" t="s">
        <v>340</v>
      </c>
      <c r="F272" s="79"/>
    </row>
    <row r="273" spans="2:6" x14ac:dyDescent="0.2">
      <c r="B273" s="79">
        <v>206135</v>
      </c>
      <c r="E273" s="79" t="s">
        <v>342</v>
      </c>
      <c r="F273" s="79"/>
    </row>
    <row r="274" spans="2:6" x14ac:dyDescent="0.2">
      <c r="B274" s="94">
        <v>4181</v>
      </c>
      <c r="E274" s="1158" t="s">
        <v>69</v>
      </c>
      <c r="F274" s="94"/>
    </row>
    <row r="275" spans="2:6" x14ac:dyDescent="0.2">
      <c r="B275" s="79">
        <v>509195</v>
      </c>
      <c r="E275" s="79" t="s">
        <v>344</v>
      </c>
      <c r="F275" s="79"/>
    </row>
    <row r="276" spans="2:6" ht="25.5" x14ac:dyDescent="0.2">
      <c r="B276" s="88" t="s">
        <v>347</v>
      </c>
      <c r="E276" s="87" t="s">
        <v>346</v>
      </c>
      <c r="F276" s="88"/>
    </row>
    <row r="277" spans="2:6" x14ac:dyDescent="0.2">
      <c r="B277" s="1202" t="s">
        <v>349</v>
      </c>
      <c r="E277" s="1201" t="s">
        <v>348</v>
      </c>
      <c r="F277" s="1202"/>
    </row>
    <row r="278" spans="2:6" x14ac:dyDescent="0.2">
      <c r="B278" s="79" t="s">
        <v>352</v>
      </c>
      <c r="E278" s="79" t="s">
        <v>350</v>
      </c>
      <c r="F278" s="79"/>
    </row>
    <row r="279" spans="2:6" x14ac:dyDescent="0.2">
      <c r="B279" s="79">
        <v>509199</v>
      </c>
      <c r="E279" s="79" t="s">
        <v>353</v>
      </c>
      <c r="F279" s="79"/>
    </row>
    <row r="280" spans="2:6" x14ac:dyDescent="0.2">
      <c r="B280" s="79">
        <v>509197</v>
      </c>
      <c r="E280" s="79" t="s">
        <v>355</v>
      </c>
      <c r="F280" s="79"/>
    </row>
    <row r="281" spans="2:6" x14ac:dyDescent="0.2">
      <c r="B281" s="1211">
        <v>479383</v>
      </c>
      <c r="E281" s="1151" t="s">
        <v>870</v>
      </c>
      <c r="F281" s="1211"/>
    </row>
    <row r="282" spans="2:6" ht="25.5" x14ac:dyDescent="0.2">
      <c r="B282" s="1168" t="s">
        <v>361</v>
      </c>
      <c r="E282" s="1170" t="s">
        <v>360</v>
      </c>
      <c r="F282" s="1168"/>
    </row>
    <row r="283" spans="2:6" x14ac:dyDescent="0.2">
      <c r="B283" s="94">
        <v>4182</v>
      </c>
      <c r="E283" s="1158" t="s">
        <v>70</v>
      </c>
      <c r="F283" s="94"/>
    </row>
    <row r="284" spans="2:6" x14ac:dyDescent="0.2">
      <c r="B284" s="79" t="s">
        <v>359</v>
      </c>
      <c r="E284" s="79" t="s">
        <v>357</v>
      </c>
      <c r="F284" s="79"/>
    </row>
    <row r="285" spans="2:6" x14ac:dyDescent="0.2">
      <c r="B285" s="79">
        <v>1005</v>
      </c>
      <c r="E285" s="79" t="s">
        <v>6</v>
      </c>
      <c r="F285" s="79"/>
    </row>
    <row r="286" spans="2:6" x14ac:dyDescent="0.2">
      <c r="B286" s="1179" t="s">
        <v>872</v>
      </c>
      <c r="E286" s="489" t="s">
        <v>871</v>
      </c>
      <c r="F286" s="1179"/>
    </row>
    <row r="287" spans="2:6" x14ac:dyDescent="0.2">
      <c r="B287" s="94">
        <v>2436</v>
      </c>
      <c r="E287" s="1158" t="s">
        <v>39</v>
      </c>
      <c r="F287" s="94"/>
    </row>
    <row r="288" spans="2:6" x14ac:dyDescent="0.2">
      <c r="B288" s="79">
        <v>206117</v>
      </c>
      <c r="E288" s="79" t="s">
        <v>362</v>
      </c>
      <c r="F288" s="79"/>
    </row>
    <row r="289" spans="2:6" x14ac:dyDescent="0.2">
      <c r="B289" s="79">
        <v>2452</v>
      </c>
      <c r="E289" s="79" t="s">
        <v>40</v>
      </c>
      <c r="F289" s="79"/>
    </row>
    <row r="290" spans="2:6" x14ac:dyDescent="0.2">
      <c r="B290" s="94">
        <v>4001</v>
      </c>
      <c r="E290" s="1158" t="s">
        <v>71</v>
      </c>
      <c r="F290" s="94"/>
    </row>
    <row r="291" spans="2:6" x14ac:dyDescent="0.2">
      <c r="B291" s="79">
        <v>206141</v>
      </c>
      <c r="E291" s="79" t="s">
        <v>364</v>
      </c>
      <c r="F291" s="79"/>
    </row>
    <row r="292" spans="2:6" x14ac:dyDescent="0.2">
      <c r="B292" s="94">
        <v>2627</v>
      </c>
      <c r="E292" s="1158" t="s">
        <v>41</v>
      </c>
      <c r="F292" s="94"/>
    </row>
    <row r="293" spans="2:6" x14ac:dyDescent="0.2">
      <c r="B293" s="94">
        <v>5406</v>
      </c>
      <c r="E293" s="1158" t="s">
        <v>112</v>
      </c>
      <c r="F293" s="94"/>
    </row>
    <row r="294" spans="2:6" x14ac:dyDescent="0.2">
      <c r="B294" s="94">
        <v>5407</v>
      </c>
      <c r="E294" s="1158" t="s">
        <v>113</v>
      </c>
      <c r="F294" s="94"/>
    </row>
    <row r="295" spans="2:6" x14ac:dyDescent="0.2">
      <c r="B295" s="79" t="s">
        <v>368</v>
      </c>
      <c r="E295" s="79" t="s">
        <v>366</v>
      </c>
      <c r="F295" s="79"/>
    </row>
    <row r="296" spans="2:6" x14ac:dyDescent="0.2">
      <c r="B296" s="79">
        <v>258404</v>
      </c>
      <c r="E296" s="79" t="s">
        <v>369</v>
      </c>
      <c r="F296" s="79"/>
    </row>
    <row r="297" spans="2:6" x14ac:dyDescent="0.2">
      <c r="B297" s="79">
        <v>2473</v>
      </c>
      <c r="E297" s="1158" t="s">
        <v>101</v>
      </c>
      <c r="F297" s="79"/>
    </row>
    <row r="298" spans="2:6" x14ac:dyDescent="0.2">
      <c r="B298" s="94">
        <v>2471</v>
      </c>
      <c r="E298" s="1158" t="s">
        <v>44</v>
      </c>
      <c r="F298" s="94"/>
    </row>
    <row r="299" spans="2:6" x14ac:dyDescent="0.2">
      <c r="B299" s="79">
        <v>258405</v>
      </c>
      <c r="E299" s="79" t="s">
        <v>371</v>
      </c>
      <c r="F299" s="79"/>
    </row>
    <row r="300" spans="2:6" x14ac:dyDescent="0.2">
      <c r="B300" s="79">
        <v>258406</v>
      </c>
      <c r="E300" s="79" t="s">
        <v>373</v>
      </c>
      <c r="F300" s="79"/>
    </row>
    <row r="301" spans="2:6" x14ac:dyDescent="0.2">
      <c r="B301" s="79">
        <v>2420</v>
      </c>
      <c r="E301" s="79" t="s">
        <v>43</v>
      </c>
      <c r="F301" s="79"/>
    </row>
    <row r="302" spans="2:6" x14ac:dyDescent="0.2">
      <c r="B302" s="79">
        <v>206160</v>
      </c>
      <c r="E302" s="79" t="s">
        <v>375</v>
      </c>
      <c r="F302" s="79"/>
    </row>
    <row r="303" spans="2:6" x14ac:dyDescent="0.2">
      <c r="B303" s="79">
        <v>2003</v>
      </c>
      <c r="E303" s="79" t="s">
        <v>45</v>
      </c>
      <c r="F303" s="79"/>
    </row>
    <row r="304" spans="2:6" x14ac:dyDescent="0.2">
      <c r="B304" s="94">
        <v>2423</v>
      </c>
      <c r="E304" s="1158" t="s">
        <v>46</v>
      </c>
      <c r="F304" s="94"/>
    </row>
    <row r="305" spans="2:6" x14ac:dyDescent="0.2">
      <c r="B305" s="94">
        <v>2424</v>
      </c>
      <c r="E305" s="1158" t="s">
        <v>47</v>
      </c>
      <c r="F305" s="94"/>
    </row>
    <row r="306" spans="2:6" x14ac:dyDescent="0.2">
      <c r="B306" s="79" t="s">
        <v>379</v>
      </c>
      <c r="E306" s="79" t="s">
        <v>377</v>
      </c>
      <c r="F306" s="79"/>
    </row>
    <row r="307" spans="2:6" x14ac:dyDescent="0.2">
      <c r="B307" s="1179" t="s">
        <v>874</v>
      </c>
      <c r="E307" s="726" t="s">
        <v>873</v>
      </c>
      <c r="F307" s="1179"/>
    </row>
    <row r="308" spans="2:6" x14ac:dyDescent="0.2">
      <c r="B308" s="79" t="s">
        <v>384</v>
      </c>
      <c r="E308" s="79" t="s">
        <v>382</v>
      </c>
      <c r="F308" s="79"/>
    </row>
    <row r="309" spans="2:6" x14ac:dyDescent="0.2">
      <c r="B309" s="79">
        <v>206146</v>
      </c>
      <c r="E309" s="79" t="s">
        <v>385</v>
      </c>
      <c r="F309" s="79"/>
    </row>
    <row r="310" spans="2:6" x14ac:dyDescent="0.2">
      <c r="B310" s="94">
        <v>2439</v>
      </c>
      <c r="E310" s="1158" t="s">
        <v>48</v>
      </c>
      <c r="F310" s="94"/>
    </row>
    <row r="311" spans="2:6" x14ac:dyDescent="0.2">
      <c r="B311" s="94">
        <v>2440</v>
      </c>
      <c r="E311" s="1158" t="s">
        <v>49</v>
      </c>
      <c r="F311" s="94"/>
    </row>
    <row r="312" spans="2:6" x14ac:dyDescent="0.2">
      <c r="B312" s="80" t="s">
        <v>388</v>
      </c>
      <c r="E312" s="80" t="s">
        <v>387</v>
      </c>
      <c r="F312" s="80"/>
    </row>
    <row r="313" spans="2:6" x14ac:dyDescent="0.2">
      <c r="B313" s="79">
        <v>2462</v>
      </c>
      <c r="E313" s="1158" t="s">
        <v>102</v>
      </c>
      <c r="F313" s="79"/>
    </row>
    <row r="314" spans="2:6" x14ac:dyDescent="0.2">
      <c r="B314" s="94">
        <v>2463</v>
      </c>
      <c r="E314" s="1158" t="s">
        <v>50</v>
      </c>
      <c r="F314" s="94"/>
    </row>
    <row r="315" spans="2:6" x14ac:dyDescent="0.2">
      <c r="B315" s="79">
        <v>2505</v>
      </c>
      <c r="E315" s="79" t="s">
        <v>51</v>
      </c>
      <c r="F315" s="79"/>
    </row>
    <row r="316" spans="2:6" x14ac:dyDescent="0.2">
      <c r="B316" s="79">
        <v>2000</v>
      </c>
      <c r="E316" s="79" t="s">
        <v>52</v>
      </c>
      <c r="F316" s="79"/>
    </row>
    <row r="317" spans="2:6" x14ac:dyDescent="0.2">
      <c r="B317" s="94">
        <v>2458</v>
      </c>
      <c r="E317" s="1158" t="s">
        <v>53</v>
      </c>
      <c r="F317" s="94"/>
    </row>
    <row r="318" spans="2:6" x14ac:dyDescent="0.2">
      <c r="B318" s="79" t="s">
        <v>394</v>
      </c>
      <c r="E318" s="79" t="s">
        <v>392</v>
      </c>
      <c r="F318" s="79"/>
    </row>
    <row r="319" spans="2:6" x14ac:dyDescent="0.2">
      <c r="B319" s="79">
        <v>2001</v>
      </c>
      <c r="E319" s="79" t="s">
        <v>54</v>
      </c>
      <c r="F319" s="79"/>
    </row>
    <row r="320" spans="2:6" x14ac:dyDescent="0.2">
      <c r="B320" s="80" t="s">
        <v>396</v>
      </c>
      <c r="E320" s="80" t="s">
        <v>395</v>
      </c>
      <c r="F320" s="80"/>
    </row>
    <row r="321" spans="2:6" x14ac:dyDescent="0.2">
      <c r="B321" s="79">
        <v>2429</v>
      </c>
      <c r="E321" s="79" t="s">
        <v>55</v>
      </c>
      <c r="F321" s="79"/>
    </row>
    <row r="322" spans="2:6" x14ac:dyDescent="0.2">
      <c r="B322" s="79">
        <v>113044</v>
      </c>
      <c r="E322" s="79" t="s">
        <v>397</v>
      </c>
      <c r="F322" s="79"/>
    </row>
    <row r="323" spans="2:6" x14ac:dyDescent="0.2">
      <c r="B323" s="79" t="s">
        <v>401</v>
      </c>
      <c r="E323" s="79" t="s">
        <v>399</v>
      </c>
      <c r="F323" s="79"/>
    </row>
    <row r="324" spans="2:6" x14ac:dyDescent="0.2">
      <c r="B324" s="94">
        <v>4607</v>
      </c>
      <c r="E324" s="1158" t="s">
        <v>72</v>
      </c>
      <c r="F324" s="94"/>
    </row>
    <row r="325" spans="2:6" x14ac:dyDescent="0.2">
      <c r="B325" s="1169" t="s">
        <v>882</v>
      </c>
      <c r="E325" s="665" t="s">
        <v>881</v>
      </c>
      <c r="F325" s="1169"/>
    </row>
    <row r="326" spans="2:6" x14ac:dyDescent="0.2">
      <c r="B326" s="1154" t="s">
        <v>884</v>
      </c>
      <c r="E326" s="726" t="s">
        <v>883</v>
      </c>
      <c r="F326" s="1154"/>
    </row>
    <row r="327" spans="2:6" x14ac:dyDescent="0.2">
      <c r="B327" s="79">
        <v>2444</v>
      </c>
      <c r="E327" s="79" t="s">
        <v>56</v>
      </c>
      <c r="F327" s="79"/>
    </row>
    <row r="328" spans="2:6" x14ac:dyDescent="0.2">
      <c r="B328" s="94">
        <v>5209</v>
      </c>
      <c r="E328" s="1158" t="s">
        <v>57</v>
      </c>
      <c r="F328" s="94"/>
    </row>
    <row r="329" spans="2:6" x14ac:dyDescent="0.2">
      <c r="B329" s="79" t="s">
        <v>404</v>
      </c>
      <c r="E329" s="79" t="s">
        <v>402</v>
      </c>
      <c r="F329" s="79"/>
    </row>
    <row r="330" spans="2:6" x14ac:dyDescent="0.2">
      <c r="B330" s="79" t="s">
        <v>407</v>
      </c>
      <c r="E330" s="79" t="s">
        <v>405</v>
      </c>
      <c r="F330" s="79"/>
    </row>
    <row r="331" spans="2:6" x14ac:dyDescent="0.2">
      <c r="B331" s="94">
        <v>2469</v>
      </c>
      <c r="E331" s="1158" t="s">
        <v>58</v>
      </c>
      <c r="F331" s="94"/>
    </row>
    <row r="332" spans="2:6" x14ac:dyDescent="0.2">
      <c r="B332" s="79" t="s">
        <v>410</v>
      </c>
      <c r="E332" s="79" t="s">
        <v>408</v>
      </c>
      <c r="F332" s="79"/>
    </row>
    <row r="333" spans="2:6" x14ac:dyDescent="0.2">
      <c r="B333" s="99" t="s">
        <v>412</v>
      </c>
      <c r="E333" s="99" t="s">
        <v>411</v>
      </c>
      <c r="F333" s="99"/>
    </row>
    <row r="334" spans="2:6" x14ac:dyDescent="0.2">
      <c r="B334" s="94">
        <v>2466</v>
      </c>
      <c r="E334" s="1158" t="s">
        <v>59</v>
      </c>
      <c r="F334" s="94"/>
    </row>
    <row r="335" spans="2:6" x14ac:dyDescent="0.2">
      <c r="B335" s="79">
        <v>3543</v>
      </c>
      <c r="E335" s="79" t="s">
        <v>60</v>
      </c>
      <c r="F335" s="79"/>
    </row>
    <row r="336" spans="2:6" x14ac:dyDescent="0.2">
      <c r="B336" s="79">
        <v>206152</v>
      </c>
      <c r="E336" s="79" t="s">
        <v>413</v>
      </c>
      <c r="F336" s="79"/>
    </row>
    <row r="337" spans="2:6" x14ac:dyDescent="0.2">
      <c r="B337" s="79">
        <v>206153</v>
      </c>
      <c r="E337" s="79" t="s">
        <v>415</v>
      </c>
      <c r="F337" s="79"/>
    </row>
    <row r="338" spans="2:6" x14ac:dyDescent="0.2">
      <c r="B338" s="94">
        <v>3531</v>
      </c>
      <c r="E338" s="1158" t="s">
        <v>62</v>
      </c>
      <c r="F338" s="94"/>
    </row>
    <row r="339" spans="2:6" x14ac:dyDescent="0.2">
      <c r="B339" s="79">
        <v>3526</v>
      </c>
      <c r="E339" s="79" t="s">
        <v>63</v>
      </c>
      <c r="F339" s="79"/>
    </row>
    <row r="340" spans="2:6" x14ac:dyDescent="0.2">
      <c r="B340" s="94">
        <v>3535</v>
      </c>
      <c r="E340" s="1158" t="s">
        <v>104</v>
      </c>
      <c r="F340" s="94"/>
    </row>
    <row r="341" spans="2:6" x14ac:dyDescent="0.2">
      <c r="B341" s="94">
        <v>2008</v>
      </c>
      <c r="E341" s="1203" t="s">
        <v>64</v>
      </c>
      <c r="F341" s="94"/>
    </row>
    <row r="342" spans="2:6" x14ac:dyDescent="0.2">
      <c r="B342" s="94">
        <v>3542</v>
      </c>
      <c r="E342" s="1158" t="s">
        <v>105</v>
      </c>
      <c r="F342" s="94"/>
    </row>
    <row r="343" spans="2:6" x14ac:dyDescent="0.2">
      <c r="B343" s="79">
        <v>206154</v>
      </c>
      <c r="E343" s="90" t="s">
        <v>417</v>
      </c>
      <c r="F343" s="79"/>
    </row>
    <row r="344" spans="2:6" x14ac:dyDescent="0.2">
      <c r="B344" s="79">
        <v>3528</v>
      </c>
      <c r="E344" s="1158" t="s">
        <v>106</v>
      </c>
      <c r="F344" s="79"/>
    </row>
    <row r="345" spans="2:6" x14ac:dyDescent="0.2">
      <c r="B345" s="80" t="s">
        <v>420</v>
      </c>
      <c r="E345" s="80" t="s">
        <v>419</v>
      </c>
      <c r="F345" s="80"/>
    </row>
    <row r="346" spans="2:6" x14ac:dyDescent="0.2">
      <c r="B346" s="94">
        <v>3534</v>
      </c>
      <c r="E346" s="1158" t="s">
        <v>107</v>
      </c>
      <c r="F346" s="94"/>
    </row>
    <row r="347" spans="2:6" x14ac:dyDescent="0.2">
      <c r="B347" s="143">
        <v>3532</v>
      </c>
      <c r="E347" s="1158" t="s">
        <v>108</v>
      </c>
      <c r="F347" s="143"/>
    </row>
    <row r="348" spans="2:6" x14ac:dyDescent="0.2">
      <c r="B348" s="79">
        <v>1010</v>
      </c>
      <c r="E348" s="107" t="s">
        <v>7</v>
      </c>
      <c r="F348" s="79"/>
    </row>
    <row r="349" spans="2:6" x14ac:dyDescent="0.2">
      <c r="B349" s="79" t="s">
        <v>423</v>
      </c>
      <c r="E349" s="107" t="s">
        <v>421</v>
      </c>
      <c r="F349" s="79"/>
    </row>
    <row r="350" spans="2:6" x14ac:dyDescent="0.2">
      <c r="B350" s="94">
        <v>4177</v>
      </c>
      <c r="E350" s="1158" t="s">
        <v>114</v>
      </c>
      <c r="F350" s="94"/>
    </row>
    <row r="351" spans="2:6" x14ac:dyDescent="0.2">
      <c r="B351" s="79" t="s">
        <v>426</v>
      </c>
      <c r="E351" s="79" t="s">
        <v>424</v>
      </c>
      <c r="F351" s="79"/>
    </row>
    <row r="352" spans="2:6" x14ac:dyDescent="0.2">
      <c r="B352" s="79">
        <v>206103</v>
      </c>
      <c r="E352" s="79" t="s">
        <v>427</v>
      </c>
      <c r="F352" s="79"/>
    </row>
    <row r="353" spans="2:6" x14ac:dyDescent="0.2">
      <c r="B353" s="79" t="s">
        <v>430</v>
      </c>
      <c r="E353" s="79" t="s">
        <v>428</v>
      </c>
      <c r="F353" s="79"/>
    </row>
    <row r="354" spans="2:6" x14ac:dyDescent="0.2">
      <c r="B354" s="79" t="s">
        <v>433</v>
      </c>
      <c r="E354" s="79" t="s">
        <v>431</v>
      </c>
      <c r="F354" s="79"/>
    </row>
    <row r="355" spans="2:6" x14ac:dyDescent="0.2">
      <c r="B355" s="79">
        <v>258420</v>
      </c>
      <c r="E355" s="79" t="s">
        <v>434</v>
      </c>
      <c r="F355" s="79"/>
    </row>
    <row r="356" spans="2:6" x14ac:dyDescent="0.2">
      <c r="B356" s="79">
        <v>258424</v>
      </c>
      <c r="E356" s="79" t="s">
        <v>436</v>
      </c>
      <c r="F356" s="79"/>
    </row>
    <row r="357" spans="2:6" x14ac:dyDescent="0.2">
      <c r="B357" s="79" t="s">
        <v>439</v>
      </c>
      <c r="E357" s="79" t="s">
        <v>438</v>
      </c>
      <c r="F357" s="79"/>
    </row>
    <row r="358" spans="2:6" x14ac:dyDescent="0.2">
      <c r="B358" s="79">
        <v>3546</v>
      </c>
      <c r="E358" s="142" t="s">
        <v>65</v>
      </c>
      <c r="F358" s="79"/>
    </row>
    <row r="359" spans="2:6" x14ac:dyDescent="0.2">
      <c r="B359" s="79">
        <v>1009</v>
      </c>
      <c r="E359" s="140" t="s">
        <v>8</v>
      </c>
      <c r="F359" s="79"/>
    </row>
    <row r="360" spans="2:6" x14ac:dyDescent="0.2">
      <c r="B360" s="79">
        <v>3530</v>
      </c>
      <c r="E360" s="142" t="s">
        <v>66</v>
      </c>
      <c r="F360" s="79"/>
    </row>
    <row r="361" spans="2:6" x14ac:dyDescent="0.2">
      <c r="B361" s="94">
        <v>5412</v>
      </c>
      <c r="E361" s="1158" t="s">
        <v>74</v>
      </c>
      <c r="F361" s="94"/>
    </row>
    <row r="362" spans="2:6" ht="15" x14ac:dyDescent="0.2">
      <c r="B362" s="146" t="s">
        <v>446</v>
      </c>
      <c r="E362" s="146" t="s">
        <v>445</v>
      </c>
      <c r="F362" s="146"/>
    </row>
    <row r="363" spans="2:6" x14ac:dyDescent="0.2">
      <c r="B363" s="144" t="s">
        <v>442</v>
      </c>
      <c r="E363" s="140" t="s">
        <v>440</v>
      </c>
      <c r="F363" s="144"/>
    </row>
    <row r="364" spans="2:6" x14ac:dyDescent="0.2">
      <c r="B364" s="140">
        <v>1015</v>
      </c>
      <c r="E364" s="79" t="s">
        <v>9</v>
      </c>
      <c r="F364" s="140"/>
    </row>
    <row r="365" spans="2:6" ht="25.5" x14ac:dyDescent="0.2">
      <c r="B365" s="145" t="s">
        <v>444</v>
      </c>
      <c r="E365" s="141" t="s">
        <v>443</v>
      </c>
      <c r="F365" s="145"/>
    </row>
    <row r="366" spans="2:6" x14ac:dyDescent="0.2">
      <c r="B366" s="79">
        <v>509204</v>
      </c>
      <c r="E366" s="142" t="s">
        <v>447</v>
      </c>
      <c r="F366" s="79"/>
    </row>
    <row r="367" spans="2:6" x14ac:dyDescent="0.2">
      <c r="B367" s="143">
        <v>2459</v>
      </c>
      <c r="E367" s="1206" t="s">
        <v>67</v>
      </c>
      <c r="F367" s="143"/>
    </row>
    <row r="368" spans="2:6" x14ac:dyDescent="0.2">
      <c r="B368" s="79">
        <v>2007</v>
      </c>
      <c r="E368" s="79" t="s">
        <v>96</v>
      </c>
      <c r="F368" s="79"/>
    </row>
    <row r="369" spans="2:2" x14ac:dyDescent="0.2">
      <c r="B369" s="889"/>
    </row>
  </sheetData>
  <sheetProtection password="EF5C" sheet="1" objects="1" scenarios="1"/>
  <mergeCells count="8">
    <mergeCell ref="AE1:AE2"/>
    <mergeCell ref="F107:AE107"/>
    <mergeCell ref="F1:Y1"/>
    <mergeCell ref="Z1:Z2"/>
    <mergeCell ref="AA1:AA2"/>
    <mergeCell ref="AB1:AB2"/>
    <mergeCell ref="AC1:AC2"/>
    <mergeCell ref="AD1:AD2"/>
  </mergeCells>
  <conditionalFormatting sqref="O3:AE105 AG105:AN105 F3:M105">
    <cfRule type="cellIs" dxfId="1" priority="2" stopIfTrue="1" operator="equal">
      <formula>0</formula>
    </cfRule>
  </conditionalFormatting>
  <conditionalFormatting sqref="N3:N105">
    <cfRule type="cellIs" dxfId="0" priority="1" stopIfTrue="1" operator="equal">
      <formula>0</formula>
    </cfRule>
  </conditionalFormatting>
  <pageMargins left="0.31496062992125984" right="0.31496062992125984" top="0.74803149606299213" bottom="0.74803149606299213" header="0.31496062992125984" footer="0.31496062992125984"/>
  <pageSetup paperSize="9" scale="43"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E368"/>
  <sheetViews>
    <sheetView workbookViewId="0">
      <pane xSplit="2" ySplit="6" topLeftCell="AZ7" activePane="bottomRight" state="frozen"/>
      <selection activeCell="C118" sqref="C118"/>
      <selection pane="topRight" activeCell="C118" sqref="C118"/>
      <selection pane="bottomLeft" activeCell="C118" sqref="C118"/>
      <selection pane="bottomRight" sqref="A1:BL1048576"/>
    </sheetView>
  </sheetViews>
  <sheetFormatPr defaultRowHeight="12.75" x14ac:dyDescent="0.2"/>
  <cols>
    <col min="1" max="1" width="52.42578125" style="11" hidden="1" customWidth="1"/>
    <col min="2" max="2" width="17.140625" style="2" hidden="1" customWidth="1"/>
    <col min="3" max="5" width="18.7109375" style="11" hidden="1" customWidth="1"/>
    <col min="6" max="6" width="13.140625" style="11" hidden="1" customWidth="1"/>
    <col min="7" max="7" width="0" style="11" hidden="1" customWidth="1"/>
    <col min="8" max="8" width="12" style="11" hidden="1" customWidth="1"/>
    <col min="9" max="9" width="15.85546875" style="11" hidden="1" customWidth="1"/>
    <col min="10" max="10" width="11.7109375" style="11" hidden="1" customWidth="1"/>
    <col min="11" max="11" width="11.85546875" style="11" hidden="1" customWidth="1"/>
    <col min="12" max="12" width="12.7109375" style="11" hidden="1" customWidth="1"/>
    <col min="13" max="13" width="0" style="21" hidden="1" customWidth="1"/>
    <col min="14" max="14" width="16.42578125" style="14" hidden="1" customWidth="1"/>
    <col min="15" max="15" width="14.85546875" style="11" hidden="1" customWidth="1"/>
    <col min="16" max="16" width="12.140625" style="11" hidden="1" customWidth="1"/>
    <col min="17" max="17" width="10" style="11" hidden="1" customWidth="1"/>
    <col min="18" max="18" width="9.140625" style="30" hidden="1" customWidth="1"/>
    <col min="19" max="19" width="12.28515625" style="30" hidden="1" customWidth="1"/>
    <col min="20" max="20" width="11.140625" style="30" hidden="1" customWidth="1"/>
    <col min="21" max="21" width="11.85546875" style="30" hidden="1" customWidth="1"/>
    <col min="22" max="25" width="9.140625" style="30" hidden="1" customWidth="1"/>
    <col min="26" max="27" width="0" style="30" hidden="1" customWidth="1"/>
    <col min="28" max="28" width="11.140625" style="30" hidden="1" customWidth="1"/>
    <col min="29" max="29" width="12" style="30" hidden="1" customWidth="1"/>
    <col min="30" max="30" width="18" style="30" hidden="1" customWidth="1"/>
    <col min="31" max="31" width="12.5703125" style="30" hidden="1" customWidth="1"/>
    <col min="32" max="64" width="0" style="30" hidden="1" customWidth="1"/>
    <col min="65" max="16384" width="9.140625" style="30"/>
  </cols>
  <sheetData>
    <row r="1" spans="1:31" ht="12.75" customHeight="1" x14ac:dyDescent="0.2">
      <c r="A1" s="1" t="s">
        <v>896</v>
      </c>
      <c r="C1" s="798">
        <f>2525.5455+10+8+1+5+5-1-0.5238</f>
        <v>2553.0217000000002</v>
      </c>
      <c r="D1" s="799"/>
      <c r="E1" s="799"/>
      <c r="F1" s="4"/>
      <c r="G1" s="4"/>
      <c r="H1" s="4"/>
      <c r="I1" s="4"/>
      <c r="J1" s="18"/>
      <c r="K1" s="19"/>
      <c r="L1" s="19"/>
      <c r="N1" s="23"/>
      <c r="O1" s="23"/>
      <c r="AD1" s="30" t="s">
        <v>897</v>
      </c>
    </row>
    <row r="2" spans="1:31" x14ac:dyDescent="0.2">
      <c r="A2" s="1" t="s">
        <v>77</v>
      </c>
      <c r="B2" s="2" t="s">
        <v>898</v>
      </c>
      <c r="C2" s="800">
        <v>2525.5453715353701</v>
      </c>
      <c r="D2" s="799"/>
      <c r="E2" s="799"/>
      <c r="F2" s="4">
        <f>P120</f>
        <v>3.9650485546523183E-5</v>
      </c>
      <c r="G2" s="4"/>
      <c r="H2" s="4"/>
      <c r="I2" s="4"/>
      <c r="J2" s="19"/>
      <c r="K2" s="19"/>
      <c r="L2" s="19"/>
      <c r="N2" s="1334"/>
      <c r="O2" s="1334"/>
      <c r="AC2" s="30" t="s">
        <v>899</v>
      </c>
      <c r="AD2" s="30" t="s">
        <v>900</v>
      </c>
    </row>
    <row r="3" spans="1:31" x14ac:dyDescent="0.2">
      <c r="A3" s="1" t="s">
        <v>78</v>
      </c>
      <c r="C3" s="798"/>
      <c r="D3" s="798">
        <f>3548.6862+10+8+1+5+5-1-0.5238</f>
        <v>3576.1624000000002</v>
      </c>
      <c r="E3" s="799"/>
      <c r="F3" s="4">
        <f>P119</f>
        <v>1.4241463146172464</v>
      </c>
      <c r="G3" s="4"/>
      <c r="H3" s="4"/>
      <c r="I3" s="21"/>
      <c r="J3" s="19"/>
      <c r="K3" s="18"/>
      <c r="L3" s="19"/>
      <c r="N3" s="1334"/>
      <c r="O3" s="1334"/>
      <c r="AB3" s="30" t="s">
        <v>0</v>
      </c>
      <c r="AC3" s="21">
        <v>2442.0650999999998</v>
      </c>
      <c r="AD3" s="799">
        <f>C1-AC3</f>
        <v>110.95660000000044</v>
      </c>
      <c r="AE3" s="799"/>
    </row>
    <row r="4" spans="1:31" x14ac:dyDescent="0.2">
      <c r="A4" s="1" t="s">
        <v>79</v>
      </c>
      <c r="C4" s="798"/>
      <c r="D4" s="31">
        <v>3548.6860715353655</v>
      </c>
      <c r="E4" s="801">
        <f>3976.3526+10+8+1+5+5-1-0.5238</f>
        <v>4003.8288000000002</v>
      </c>
      <c r="F4" s="3"/>
      <c r="G4" s="3"/>
      <c r="H4" s="3"/>
      <c r="I4" s="3"/>
      <c r="J4" s="18"/>
      <c r="K4" s="18"/>
      <c r="L4" s="18"/>
      <c r="M4" s="31"/>
      <c r="N4" s="1334"/>
      <c r="O4" s="1334"/>
      <c r="AB4" s="30" t="s">
        <v>901</v>
      </c>
      <c r="AC4" s="21">
        <v>3465.2058000000002</v>
      </c>
      <c r="AD4" s="799">
        <f>D3-AC4</f>
        <v>110.95659999999998</v>
      </c>
    </row>
    <row r="5" spans="1:31" x14ac:dyDescent="0.2">
      <c r="A5" s="1" t="s">
        <v>80</v>
      </c>
      <c r="C5" s="20"/>
      <c r="D5" s="3"/>
      <c r="E5" s="18">
        <v>3976.3524715353651</v>
      </c>
      <c r="F5" s="3"/>
      <c r="G5" s="3"/>
      <c r="H5" s="3"/>
      <c r="I5" s="32"/>
      <c r="J5" s="3"/>
      <c r="K5" s="3"/>
      <c r="L5" s="18"/>
      <c r="M5" s="31"/>
      <c r="O5" s="23"/>
      <c r="AB5" s="30" t="s">
        <v>902</v>
      </c>
      <c r="AC5" s="21">
        <v>3892.8722000000002</v>
      </c>
      <c r="AD5" s="799">
        <f>E4-AC5</f>
        <v>110.95659999999998</v>
      </c>
    </row>
    <row r="6" spans="1:31" ht="63.75" x14ac:dyDescent="0.2">
      <c r="A6" s="13" t="s">
        <v>118</v>
      </c>
      <c r="B6" s="6" t="s">
        <v>119</v>
      </c>
      <c r="C6" s="7" t="s">
        <v>82</v>
      </c>
      <c r="D6" s="7" t="s">
        <v>83</v>
      </c>
      <c r="E6" s="7" t="s">
        <v>84</v>
      </c>
      <c r="F6" s="7" t="s">
        <v>85</v>
      </c>
      <c r="G6" s="7" t="s">
        <v>86</v>
      </c>
      <c r="H6" s="7" t="s">
        <v>87</v>
      </c>
      <c r="I6" s="7" t="s">
        <v>88</v>
      </c>
      <c r="J6" s="5" t="s">
        <v>89</v>
      </c>
      <c r="K6" s="5" t="s">
        <v>90</v>
      </c>
      <c r="L6" s="5" t="s">
        <v>91</v>
      </c>
      <c r="M6" s="802" t="s">
        <v>92</v>
      </c>
      <c r="N6" s="15" t="s">
        <v>93</v>
      </c>
      <c r="P6" s="5" t="s">
        <v>903</v>
      </c>
      <c r="Q6" s="5" t="s">
        <v>904</v>
      </c>
      <c r="S6" s="803" t="s">
        <v>905</v>
      </c>
      <c r="T6" s="803" t="s">
        <v>906</v>
      </c>
      <c r="U6" s="803" t="s">
        <v>907</v>
      </c>
      <c r="V6" s="58"/>
      <c r="W6" s="803" t="s">
        <v>908</v>
      </c>
      <c r="X6" s="803" t="s">
        <v>909</v>
      </c>
      <c r="Y6" s="803" t="s">
        <v>910</v>
      </c>
      <c r="AC6" s="804" t="s">
        <v>911</v>
      </c>
    </row>
    <row r="7" spans="1:31" x14ac:dyDescent="0.2">
      <c r="A7" s="805" t="s">
        <v>10</v>
      </c>
      <c r="B7" s="27">
        <v>2012</v>
      </c>
      <c r="C7" s="805">
        <v>358</v>
      </c>
      <c r="D7" s="805">
        <v>0</v>
      </c>
      <c r="E7" s="805">
        <v>0</v>
      </c>
      <c r="F7" s="805">
        <f>SUM(C7:E7)</f>
        <v>358</v>
      </c>
      <c r="G7" s="805">
        <v>0</v>
      </c>
      <c r="H7" s="805">
        <v>0</v>
      </c>
      <c r="I7" s="805">
        <v>0</v>
      </c>
      <c r="J7" s="805">
        <f>C7-G7</f>
        <v>358</v>
      </c>
      <c r="K7" s="805">
        <f>D7-H7</f>
        <v>0</v>
      </c>
      <c r="L7" s="805">
        <f>E7-I7</f>
        <v>0</v>
      </c>
      <c r="M7" s="806">
        <f>SUM(J7:L7)</f>
        <v>358</v>
      </c>
      <c r="N7" s="807">
        <f>SUM(J7*$C$1)+SUM(K7*$D$3)+SUM(L7*$E$4)</f>
        <v>913981.76860000007</v>
      </c>
      <c r="P7" s="11">
        <v>788787.02730000007</v>
      </c>
      <c r="Q7" s="11">
        <f>N7-P7</f>
        <v>125194.74129999999</v>
      </c>
      <c r="S7" s="30">
        <v>323</v>
      </c>
      <c r="T7" s="30">
        <v>0</v>
      </c>
      <c r="U7" s="30">
        <v>0</v>
      </c>
      <c r="W7" s="11">
        <f>J7-S7</f>
        <v>35</v>
      </c>
      <c r="X7" s="11">
        <f>K7-T7</f>
        <v>0</v>
      </c>
      <c r="Y7" s="11">
        <f>L7-U7</f>
        <v>0</v>
      </c>
      <c r="AC7" s="16">
        <v>874259.30579999997</v>
      </c>
    </row>
    <row r="8" spans="1:31" x14ac:dyDescent="0.2">
      <c r="A8" s="9" t="s">
        <v>11</v>
      </c>
      <c r="B8" s="10">
        <v>2443</v>
      </c>
      <c r="C8" s="9">
        <v>255</v>
      </c>
      <c r="D8" s="9">
        <v>0</v>
      </c>
      <c r="E8" s="9">
        <v>0</v>
      </c>
      <c r="F8" s="9">
        <f t="shared" ref="F8:F70" si="0">SUM(C8:E8)</f>
        <v>255</v>
      </c>
      <c r="G8" s="9">
        <v>0</v>
      </c>
      <c r="H8" s="9">
        <v>0</v>
      </c>
      <c r="I8" s="9">
        <v>0</v>
      </c>
      <c r="J8" s="9">
        <f t="shared" ref="J8:L70" si="1">C8-G8</f>
        <v>255</v>
      </c>
      <c r="K8" s="9">
        <f t="shared" si="1"/>
        <v>0</v>
      </c>
      <c r="L8" s="9">
        <f t="shared" si="1"/>
        <v>0</v>
      </c>
      <c r="M8" s="31">
        <f t="shared" ref="M8:M71" si="2">SUM(J8:L8)</f>
        <v>255</v>
      </c>
      <c r="N8" s="16">
        <f t="shared" ref="N8:N71" si="3">SUM(J8*$C$1)+SUM(K8*$D$3)+SUM(L8*$E$4)</f>
        <v>651020.53350000002</v>
      </c>
      <c r="P8" s="11">
        <v>632494.86090000009</v>
      </c>
      <c r="Q8" s="11">
        <f t="shared" ref="Q8:Q71" si="4">N8-P8</f>
        <v>18525.672599999933</v>
      </c>
      <c r="S8" s="30">
        <v>259</v>
      </c>
      <c r="T8" s="30">
        <v>0</v>
      </c>
      <c r="U8" s="30">
        <v>0</v>
      </c>
      <c r="W8" s="11">
        <f t="shared" ref="W8:Y71" si="5">J8-S8</f>
        <v>-4</v>
      </c>
      <c r="X8" s="11">
        <f t="shared" si="5"/>
        <v>0</v>
      </c>
      <c r="Y8" s="11">
        <f t="shared" si="5"/>
        <v>0</v>
      </c>
      <c r="AC8" s="16">
        <v>622726.60049999994</v>
      </c>
    </row>
    <row r="9" spans="1:31" x14ac:dyDescent="0.2">
      <c r="A9" s="9" t="s">
        <v>94</v>
      </c>
      <c r="B9" s="10">
        <v>2442</v>
      </c>
      <c r="C9" s="9">
        <v>321</v>
      </c>
      <c r="D9" s="9">
        <v>0</v>
      </c>
      <c r="E9" s="9">
        <v>0</v>
      </c>
      <c r="F9" s="9">
        <f t="shared" si="0"/>
        <v>321</v>
      </c>
      <c r="G9" s="808">
        <v>12</v>
      </c>
      <c r="H9" s="9">
        <v>0</v>
      </c>
      <c r="I9" s="9">
        <v>0</v>
      </c>
      <c r="J9" s="9">
        <f t="shared" si="1"/>
        <v>309</v>
      </c>
      <c r="K9" s="9">
        <f t="shared" si="1"/>
        <v>0</v>
      </c>
      <c r="L9" s="9">
        <f t="shared" si="1"/>
        <v>0</v>
      </c>
      <c r="M9" s="31">
        <f t="shared" si="2"/>
        <v>309</v>
      </c>
      <c r="N9" s="16">
        <f t="shared" si="3"/>
        <v>788883.70530000003</v>
      </c>
      <c r="P9" s="11">
        <v>717967.1394000001</v>
      </c>
      <c r="Q9" s="11">
        <f t="shared" si="4"/>
        <v>70916.565899999929</v>
      </c>
      <c r="S9" s="30">
        <v>294</v>
      </c>
      <c r="T9" s="30">
        <v>0</v>
      </c>
      <c r="U9" s="30">
        <v>0</v>
      </c>
      <c r="W9" s="11">
        <f t="shared" si="5"/>
        <v>15</v>
      </c>
      <c r="X9" s="11">
        <f t="shared" si="5"/>
        <v>0</v>
      </c>
      <c r="Y9" s="11">
        <f t="shared" si="5"/>
        <v>0</v>
      </c>
      <c r="AC9" s="16">
        <v>754598.11589999998</v>
      </c>
    </row>
    <row r="10" spans="1:31" x14ac:dyDescent="0.2">
      <c r="A10" s="9" t="s">
        <v>13</v>
      </c>
      <c r="B10" s="10">
        <v>2629</v>
      </c>
      <c r="C10" s="9">
        <v>436</v>
      </c>
      <c r="D10" s="9">
        <v>0</v>
      </c>
      <c r="E10" s="9">
        <v>0</v>
      </c>
      <c r="F10" s="9">
        <f t="shared" si="0"/>
        <v>436</v>
      </c>
      <c r="G10" s="808">
        <v>5</v>
      </c>
      <c r="H10" s="9">
        <v>0</v>
      </c>
      <c r="I10" s="9">
        <v>0</v>
      </c>
      <c r="J10" s="9">
        <f t="shared" si="1"/>
        <v>431</v>
      </c>
      <c r="K10" s="9">
        <f t="shared" si="1"/>
        <v>0</v>
      </c>
      <c r="L10" s="9">
        <f t="shared" si="1"/>
        <v>0</v>
      </c>
      <c r="M10" s="31">
        <f t="shared" si="2"/>
        <v>431</v>
      </c>
      <c r="N10" s="16">
        <f t="shared" si="3"/>
        <v>1100352.3527000002</v>
      </c>
      <c r="P10" s="11">
        <v>979268.10510000016</v>
      </c>
      <c r="Q10" s="11">
        <f t="shared" si="4"/>
        <v>121084.2476</v>
      </c>
      <c r="S10" s="30">
        <v>401</v>
      </c>
      <c r="T10" s="30">
        <v>0</v>
      </c>
      <c r="U10" s="30">
        <v>0</v>
      </c>
      <c r="W10" s="11">
        <f t="shared" si="5"/>
        <v>30</v>
      </c>
      <c r="X10" s="11">
        <f t="shared" si="5"/>
        <v>0</v>
      </c>
      <c r="Y10" s="11">
        <f t="shared" si="5"/>
        <v>0</v>
      </c>
      <c r="AC10" s="16">
        <v>1052530.0581</v>
      </c>
    </row>
    <row r="11" spans="1:31" x14ac:dyDescent="0.2">
      <c r="A11" s="9" t="s">
        <v>14</v>
      </c>
      <c r="B11" s="10">
        <v>2509</v>
      </c>
      <c r="C11" s="9">
        <v>195</v>
      </c>
      <c r="D11" s="9">
        <v>0</v>
      </c>
      <c r="E11" s="9">
        <v>0</v>
      </c>
      <c r="F11" s="9">
        <f t="shared" si="0"/>
        <v>195</v>
      </c>
      <c r="G11" s="9">
        <v>0</v>
      </c>
      <c r="H11" s="9">
        <v>0</v>
      </c>
      <c r="I11" s="9">
        <v>0</v>
      </c>
      <c r="J11" s="9">
        <f t="shared" si="1"/>
        <v>195</v>
      </c>
      <c r="K11" s="9">
        <f t="shared" si="1"/>
        <v>0</v>
      </c>
      <c r="L11" s="9">
        <f t="shared" si="1"/>
        <v>0</v>
      </c>
      <c r="M11" s="31">
        <f t="shared" si="2"/>
        <v>195</v>
      </c>
      <c r="N11" s="16">
        <f t="shared" si="3"/>
        <v>497839.23150000005</v>
      </c>
      <c r="P11" s="11">
        <v>459108.23880000005</v>
      </c>
      <c r="Q11" s="11">
        <f t="shared" si="4"/>
        <v>38730.992700000003</v>
      </c>
      <c r="S11" s="30">
        <v>188</v>
      </c>
      <c r="T11" s="30">
        <v>0</v>
      </c>
      <c r="U11" s="30">
        <v>0</v>
      </c>
      <c r="W11" s="11">
        <f t="shared" si="5"/>
        <v>7</v>
      </c>
      <c r="X11" s="11">
        <f t="shared" si="5"/>
        <v>0</v>
      </c>
      <c r="Y11" s="11">
        <f t="shared" si="5"/>
        <v>0</v>
      </c>
      <c r="AC11" s="16">
        <v>476202.69449999998</v>
      </c>
    </row>
    <row r="12" spans="1:31" x14ac:dyDescent="0.2">
      <c r="A12" s="9" t="s">
        <v>15</v>
      </c>
      <c r="B12" s="10">
        <v>2005</v>
      </c>
      <c r="C12" s="9">
        <v>323</v>
      </c>
      <c r="D12" s="9">
        <v>0</v>
      </c>
      <c r="E12" s="9">
        <v>0</v>
      </c>
      <c r="F12" s="9">
        <f t="shared" si="0"/>
        <v>323</v>
      </c>
      <c r="G12" s="9">
        <v>0</v>
      </c>
      <c r="H12" s="9">
        <v>0</v>
      </c>
      <c r="I12" s="9">
        <v>0</v>
      </c>
      <c r="J12" s="9">
        <f t="shared" si="1"/>
        <v>323</v>
      </c>
      <c r="K12" s="9">
        <f t="shared" si="1"/>
        <v>0</v>
      </c>
      <c r="L12" s="9">
        <f t="shared" si="1"/>
        <v>0</v>
      </c>
      <c r="M12" s="31">
        <f t="shared" si="2"/>
        <v>323</v>
      </c>
      <c r="N12" s="16">
        <f t="shared" si="3"/>
        <v>824626.00910000002</v>
      </c>
      <c r="P12" s="11">
        <v>732619.53</v>
      </c>
      <c r="Q12" s="11">
        <f t="shared" si="4"/>
        <v>92006.479099999997</v>
      </c>
      <c r="S12" s="30">
        <v>300</v>
      </c>
      <c r="T12" s="30">
        <v>0</v>
      </c>
      <c r="U12" s="30">
        <v>0</v>
      </c>
      <c r="W12" s="11">
        <f t="shared" si="5"/>
        <v>23</v>
      </c>
      <c r="X12" s="11">
        <f t="shared" si="5"/>
        <v>0</v>
      </c>
      <c r="Y12" s="11">
        <f t="shared" si="5"/>
        <v>0</v>
      </c>
      <c r="AC12" s="16">
        <v>788787.02729999996</v>
      </c>
    </row>
    <row r="13" spans="1:31" x14ac:dyDescent="0.2">
      <c r="A13" s="9" t="s">
        <v>16</v>
      </c>
      <c r="B13" s="10">
        <v>2464</v>
      </c>
      <c r="C13" s="9">
        <v>192</v>
      </c>
      <c r="D13" s="9">
        <v>0</v>
      </c>
      <c r="E13" s="9">
        <v>0</v>
      </c>
      <c r="F13" s="9">
        <f t="shared" si="0"/>
        <v>192</v>
      </c>
      <c r="G13" s="9">
        <v>0</v>
      </c>
      <c r="H13" s="9">
        <v>0</v>
      </c>
      <c r="I13" s="9">
        <v>0</v>
      </c>
      <c r="J13" s="9">
        <f t="shared" si="1"/>
        <v>192</v>
      </c>
      <c r="K13" s="9">
        <f t="shared" si="1"/>
        <v>0</v>
      </c>
      <c r="L13" s="9">
        <f t="shared" si="1"/>
        <v>0</v>
      </c>
      <c r="M13" s="31">
        <f t="shared" si="2"/>
        <v>192</v>
      </c>
      <c r="N13" s="16">
        <f t="shared" si="3"/>
        <v>490180.16640000005</v>
      </c>
      <c r="P13" s="11">
        <v>454224.10860000004</v>
      </c>
      <c r="Q13" s="11">
        <f t="shared" si="4"/>
        <v>35956.05780000001</v>
      </c>
      <c r="S13" s="30">
        <v>186</v>
      </c>
      <c r="T13" s="30">
        <v>0</v>
      </c>
      <c r="U13" s="30">
        <v>0</v>
      </c>
      <c r="W13" s="11">
        <f t="shared" si="5"/>
        <v>6</v>
      </c>
      <c r="X13" s="11">
        <f t="shared" si="5"/>
        <v>0</v>
      </c>
      <c r="Y13" s="11">
        <f t="shared" si="5"/>
        <v>0</v>
      </c>
      <c r="AC13" s="16">
        <v>468876.49919999996</v>
      </c>
    </row>
    <row r="14" spans="1:31" x14ac:dyDescent="0.2">
      <c r="A14" s="9" t="s">
        <v>17</v>
      </c>
      <c r="B14" s="10">
        <v>2004</v>
      </c>
      <c r="C14" s="9">
        <v>272</v>
      </c>
      <c r="D14" s="9">
        <v>0</v>
      </c>
      <c r="E14" s="9">
        <v>0</v>
      </c>
      <c r="F14" s="9">
        <f t="shared" si="0"/>
        <v>272</v>
      </c>
      <c r="G14" s="9">
        <v>0</v>
      </c>
      <c r="H14" s="9">
        <v>0</v>
      </c>
      <c r="I14" s="9">
        <v>0</v>
      </c>
      <c r="J14" s="9">
        <f t="shared" si="1"/>
        <v>272</v>
      </c>
      <c r="K14" s="9">
        <f t="shared" si="1"/>
        <v>0</v>
      </c>
      <c r="L14" s="9">
        <f t="shared" si="1"/>
        <v>0</v>
      </c>
      <c r="M14" s="31">
        <f t="shared" si="2"/>
        <v>272</v>
      </c>
      <c r="N14" s="16">
        <f t="shared" si="3"/>
        <v>694421.90240000002</v>
      </c>
      <c r="P14" s="11">
        <v>647147.25150000001</v>
      </c>
      <c r="Q14" s="11">
        <f t="shared" si="4"/>
        <v>47274.650900000008</v>
      </c>
      <c r="S14" s="30">
        <v>265</v>
      </c>
      <c r="T14" s="30">
        <v>0</v>
      </c>
      <c r="U14" s="30">
        <v>0</v>
      </c>
      <c r="W14" s="11">
        <f t="shared" si="5"/>
        <v>7</v>
      </c>
      <c r="X14" s="11">
        <f t="shared" si="5"/>
        <v>0</v>
      </c>
      <c r="Y14" s="11">
        <f t="shared" si="5"/>
        <v>0</v>
      </c>
      <c r="AC14" s="16">
        <v>664241.70719999995</v>
      </c>
    </row>
    <row r="15" spans="1:31" x14ac:dyDescent="0.2">
      <c r="A15" s="9" t="s">
        <v>18</v>
      </c>
      <c r="B15" s="10">
        <v>2405</v>
      </c>
      <c r="C15" s="9">
        <v>207</v>
      </c>
      <c r="D15" s="9">
        <v>0</v>
      </c>
      <c r="E15" s="9">
        <v>0</v>
      </c>
      <c r="F15" s="9">
        <f t="shared" si="0"/>
        <v>207</v>
      </c>
      <c r="G15" s="808">
        <v>6</v>
      </c>
      <c r="H15" s="9">
        <v>0</v>
      </c>
      <c r="I15" s="9">
        <v>0</v>
      </c>
      <c r="J15" s="9">
        <f t="shared" si="1"/>
        <v>201</v>
      </c>
      <c r="K15" s="9">
        <f t="shared" si="1"/>
        <v>0</v>
      </c>
      <c r="L15" s="9">
        <f t="shared" si="1"/>
        <v>0</v>
      </c>
      <c r="M15" s="31">
        <f t="shared" si="2"/>
        <v>201</v>
      </c>
      <c r="N15" s="16">
        <f t="shared" si="3"/>
        <v>513157.36170000007</v>
      </c>
      <c r="P15" s="11">
        <v>478644.75960000005</v>
      </c>
      <c r="Q15" s="11">
        <f t="shared" si="4"/>
        <v>34512.602100000018</v>
      </c>
      <c r="S15" s="30">
        <v>196</v>
      </c>
      <c r="T15" s="30">
        <v>0</v>
      </c>
      <c r="U15" s="30">
        <v>0</v>
      </c>
      <c r="W15" s="11">
        <f t="shared" si="5"/>
        <v>5</v>
      </c>
      <c r="X15" s="11">
        <f t="shared" si="5"/>
        <v>0</v>
      </c>
      <c r="Y15" s="11">
        <f t="shared" si="5"/>
        <v>0</v>
      </c>
      <c r="AC15" s="16">
        <v>490855.08509999997</v>
      </c>
    </row>
    <row r="16" spans="1:31" s="33" customFormat="1" x14ac:dyDescent="0.2">
      <c r="A16" s="805" t="s">
        <v>95</v>
      </c>
      <c r="B16" s="27">
        <v>2011</v>
      </c>
      <c r="C16" s="805">
        <v>214</v>
      </c>
      <c r="D16" s="805">
        <v>0</v>
      </c>
      <c r="E16" s="805">
        <v>0</v>
      </c>
      <c r="F16" s="805">
        <f t="shared" si="0"/>
        <v>214</v>
      </c>
      <c r="G16" s="805">
        <v>0</v>
      </c>
      <c r="H16" s="805">
        <v>0</v>
      </c>
      <c r="I16" s="805">
        <v>0</v>
      </c>
      <c r="J16" s="805">
        <f t="shared" si="1"/>
        <v>214</v>
      </c>
      <c r="K16" s="805">
        <f t="shared" si="1"/>
        <v>0</v>
      </c>
      <c r="L16" s="805">
        <f t="shared" si="1"/>
        <v>0</v>
      </c>
      <c r="M16" s="806">
        <f t="shared" si="2"/>
        <v>214</v>
      </c>
      <c r="N16" s="807">
        <f t="shared" si="3"/>
        <v>546346.64380000008</v>
      </c>
      <c r="O16" s="809"/>
      <c r="P16" s="809">
        <v>510391.60590000008</v>
      </c>
      <c r="Q16" s="809">
        <f t="shared" si="4"/>
        <v>35955.037899999996</v>
      </c>
      <c r="S16" s="33">
        <v>209</v>
      </c>
      <c r="T16" s="33">
        <v>0</v>
      </c>
      <c r="U16" s="33">
        <v>0</v>
      </c>
      <c r="W16" s="809">
        <f t="shared" si="5"/>
        <v>5</v>
      </c>
      <c r="X16" s="809">
        <f t="shared" si="5"/>
        <v>0</v>
      </c>
      <c r="Y16" s="809">
        <f t="shared" si="5"/>
        <v>0</v>
      </c>
      <c r="AC16" s="16">
        <v>522601.93139999994</v>
      </c>
    </row>
    <row r="17" spans="1:29" x14ac:dyDescent="0.2">
      <c r="A17" s="9" t="s">
        <v>20</v>
      </c>
      <c r="B17" s="10">
        <v>5201</v>
      </c>
      <c r="C17" s="9">
        <v>419</v>
      </c>
      <c r="D17" s="9">
        <v>0</v>
      </c>
      <c r="E17" s="9">
        <v>0</v>
      </c>
      <c r="F17" s="9">
        <f t="shared" si="0"/>
        <v>419</v>
      </c>
      <c r="G17" s="9">
        <v>0</v>
      </c>
      <c r="H17" s="9">
        <v>0</v>
      </c>
      <c r="I17" s="9">
        <v>0</v>
      </c>
      <c r="J17" s="9">
        <f t="shared" si="1"/>
        <v>419</v>
      </c>
      <c r="K17" s="9">
        <f t="shared" si="1"/>
        <v>0</v>
      </c>
      <c r="L17" s="9">
        <f t="shared" si="1"/>
        <v>0</v>
      </c>
      <c r="M17" s="31">
        <f t="shared" si="2"/>
        <v>419</v>
      </c>
      <c r="N17" s="16">
        <f t="shared" si="3"/>
        <v>1069716.0923000001</v>
      </c>
      <c r="P17" s="11">
        <v>957289.5192000001</v>
      </c>
      <c r="Q17" s="11">
        <f t="shared" si="4"/>
        <v>112426.57310000004</v>
      </c>
      <c r="S17" s="30">
        <v>392</v>
      </c>
      <c r="T17" s="30">
        <v>0</v>
      </c>
      <c r="U17" s="30">
        <v>0</v>
      </c>
      <c r="W17" s="11">
        <f t="shared" si="5"/>
        <v>27</v>
      </c>
      <c r="X17" s="11">
        <f t="shared" si="5"/>
        <v>0</v>
      </c>
      <c r="Y17" s="11">
        <f t="shared" si="5"/>
        <v>0</v>
      </c>
      <c r="AC17" s="16">
        <v>1023225.2768999999</v>
      </c>
    </row>
    <row r="18" spans="1:29" s="33" customFormat="1" x14ac:dyDescent="0.2">
      <c r="A18" s="805" t="s">
        <v>96</v>
      </c>
      <c r="B18" s="27">
        <v>2007</v>
      </c>
      <c r="C18" s="805">
        <v>304</v>
      </c>
      <c r="D18" s="805">
        <v>0</v>
      </c>
      <c r="E18" s="805">
        <v>0</v>
      </c>
      <c r="F18" s="805">
        <f t="shared" si="0"/>
        <v>304</v>
      </c>
      <c r="G18" s="805">
        <v>0</v>
      </c>
      <c r="H18" s="805">
        <v>0</v>
      </c>
      <c r="I18" s="805">
        <v>0</v>
      </c>
      <c r="J18" s="805">
        <f t="shared" si="1"/>
        <v>304</v>
      </c>
      <c r="K18" s="805">
        <f t="shared" si="1"/>
        <v>0</v>
      </c>
      <c r="L18" s="805">
        <f t="shared" si="1"/>
        <v>0</v>
      </c>
      <c r="M18" s="806">
        <f t="shared" si="2"/>
        <v>304</v>
      </c>
      <c r="N18" s="807">
        <f t="shared" si="3"/>
        <v>776118.59680000006</v>
      </c>
      <c r="O18" s="809"/>
      <c r="P18" s="809">
        <v>632494.86090000009</v>
      </c>
      <c r="Q18" s="809">
        <f t="shared" si="4"/>
        <v>143623.73589999997</v>
      </c>
      <c r="S18" s="33">
        <v>259</v>
      </c>
      <c r="T18" s="33">
        <v>0</v>
      </c>
      <c r="U18" s="33">
        <v>0</v>
      </c>
      <c r="W18" s="809">
        <f t="shared" si="5"/>
        <v>45</v>
      </c>
      <c r="X18" s="809">
        <f t="shared" si="5"/>
        <v>0</v>
      </c>
      <c r="Y18" s="809">
        <f t="shared" si="5"/>
        <v>0</v>
      </c>
      <c r="AC18" s="16">
        <v>742387.79039999994</v>
      </c>
    </row>
    <row r="19" spans="1:29" x14ac:dyDescent="0.2">
      <c r="A19" s="9" t="s">
        <v>21</v>
      </c>
      <c r="B19" s="10">
        <v>2433</v>
      </c>
      <c r="C19" s="9">
        <v>197</v>
      </c>
      <c r="D19" s="9">
        <v>0</v>
      </c>
      <c r="E19" s="9">
        <v>0</v>
      </c>
      <c r="F19" s="9">
        <f t="shared" si="0"/>
        <v>197</v>
      </c>
      <c r="G19" s="808">
        <v>25</v>
      </c>
      <c r="H19" s="9">
        <v>0</v>
      </c>
      <c r="I19" s="9">
        <v>0</v>
      </c>
      <c r="J19" s="9">
        <f t="shared" si="1"/>
        <v>172</v>
      </c>
      <c r="K19" s="9">
        <f t="shared" si="1"/>
        <v>0</v>
      </c>
      <c r="L19" s="9">
        <f t="shared" si="1"/>
        <v>0</v>
      </c>
      <c r="M19" s="31">
        <f t="shared" si="2"/>
        <v>172</v>
      </c>
      <c r="N19" s="16">
        <f t="shared" si="3"/>
        <v>439119.73240000004</v>
      </c>
      <c r="P19" s="11">
        <v>412709.00190000003</v>
      </c>
      <c r="Q19" s="11">
        <f t="shared" si="4"/>
        <v>26410.730500000005</v>
      </c>
      <c r="S19" s="30">
        <v>169</v>
      </c>
      <c r="T19" s="30">
        <v>0</v>
      </c>
      <c r="U19" s="30">
        <v>0</v>
      </c>
      <c r="W19" s="11">
        <f t="shared" si="5"/>
        <v>3</v>
      </c>
      <c r="X19" s="11">
        <f t="shared" si="5"/>
        <v>0</v>
      </c>
      <c r="Y19" s="11">
        <f t="shared" si="5"/>
        <v>0</v>
      </c>
      <c r="AC19" s="16">
        <v>420035.19719999994</v>
      </c>
    </row>
    <row r="20" spans="1:29" x14ac:dyDescent="0.2">
      <c r="A20" s="9" t="s">
        <v>22</v>
      </c>
      <c r="B20" s="10">
        <v>2432</v>
      </c>
      <c r="C20" s="9">
        <v>243</v>
      </c>
      <c r="D20" s="9">
        <v>0</v>
      </c>
      <c r="E20" s="9">
        <v>0</v>
      </c>
      <c r="F20" s="9">
        <f t="shared" si="0"/>
        <v>243</v>
      </c>
      <c r="G20" s="808">
        <v>38</v>
      </c>
      <c r="H20" s="9">
        <v>0</v>
      </c>
      <c r="I20" s="9">
        <v>0</v>
      </c>
      <c r="J20" s="9">
        <f t="shared" si="1"/>
        <v>205</v>
      </c>
      <c r="K20" s="9">
        <f t="shared" si="1"/>
        <v>0</v>
      </c>
      <c r="L20" s="9">
        <f t="shared" si="1"/>
        <v>0</v>
      </c>
      <c r="M20" s="31">
        <f t="shared" si="2"/>
        <v>205</v>
      </c>
      <c r="N20" s="16">
        <f t="shared" si="3"/>
        <v>523369.44850000006</v>
      </c>
      <c r="P20" s="11">
        <v>485970.95490000007</v>
      </c>
      <c r="Q20" s="11">
        <f t="shared" si="4"/>
        <v>37398.493599999987</v>
      </c>
      <c r="S20" s="30">
        <v>199</v>
      </c>
      <c r="T20" s="30">
        <v>0</v>
      </c>
      <c r="U20" s="30">
        <v>0</v>
      </c>
      <c r="W20" s="11">
        <f t="shared" si="5"/>
        <v>6</v>
      </c>
      <c r="X20" s="11">
        <f t="shared" si="5"/>
        <v>0</v>
      </c>
      <c r="Y20" s="11">
        <f t="shared" si="5"/>
        <v>0</v>
      </c>
      <c r="AC20" s="16">
        <v>500623.34549999994</v>
      </c>
    </row>
    <row r="21" spans="1:29" x14ac:dyDescent="0.2">
      <c r="A21" s="9" t="s">
        <v>199</v>
      </c>
      <c r="B21" s="10">
        <v>2447</v>
      </c>
      <c r="C21" s="9">
        <v>419</v>
      </c>
      <c r="D21" s="9">
        <v>0</v>
      </c>
      <c r="E21" s="9">
        <v>0</v>
      </c>
      <c r="F21" s="9">
        <f t="shared" si="0"/>
        <v>419</v>
      </c>
      <c r="G21" s="9">
        <v>0</v>
      </c>
      <c r="H21" s="9">
        <v>0</v>
      </c>
      <c r="I21" s="9">
        <v>0</v>
      </c>
      <c r="J21" s="9">
        <f t="shared" si="1"/>
        <v>419</v>
      </c>
      <c r="K21" s="9">
        <f t="shared" si="1"/>
        <v>0</v>
      </c>
      <c r="L21" s="9">
        <f t="shared" si="1"/>
        <v>0</v>
      </c>
      <c r="M21" s="31">
        <f t="shared" si="2"/>
        <v>419</v>
      </c>
      <c r="N21" s="16">
        <f t="shared" si="3"/>
        <v>1069716.0923000001</v>
      </c>
      <c r="P21" s="11">
        <v>981710.17020000005</v>
      </c>
      <c r="Q21" s="11">
        <f t="shared" si="4"/>
        <v>88005.922100000083</v>
      </c>
      <c r="S21" s="11">
        <v>402</v>
      </c>
      <c r="T21" s="30">
        <v>0</v>
      </c>
      <c r="U21" s="30">
        <v>0</v>
      </c>
      <c r="W21" s="11">
        <f t="shared" si="5"/>
        <v>17</v>
      </c>
      <c r="X21" s="11">
        <f t="shared" si="5"/>
        <v>0</v>
      </c>
      <c r="Y21" s="11">
        <f t="shared" si="5"/>
        <v>0</v>
      </c>
      <c r="AC21" s="16">
        <v>1023225.2768999999</v>
      </c>
    </row>
    <row r="22" spans="1:29" x14ac:dyDescent="0.2">
      <c r="A22" s="9" t="s">
        <v>23</v>
      </c>
      <c r="B22" s="10">
        <v>2512</v>
      </c>
      <c r="C22" s="9">
        <v>206</v>
      </c>
      <c r="D22" s="9">
        <v>0</v>
      </c>
      <c r="E22" s="9">
        <v>0</v>
      </c>
      <c r="F22" s="9">
        <f t="shared" si="0"/>
        <v>206</v>
      </c>
      <c r="G22" s="9">
        <v>0</v>
      </c>
      <c r="H22" s="9">
        <v>0</v>
      </c>
      <c r="I22" s="9">
        <v>0</v>
      </c>
      <c r="J22" s="9">
        <f t="shared" si="1"/>
        <v>206</v>
      </c>
      <c r="K22" s="9">
        <f t="shared" si="1"/>
        <v>0</v>
      </c>
      <c r="L22" s="9">
        <f t="shared" si="1"/>
        <v>0</v>
      </c>
      <c r="M22" s="31">
        <f t="shared" si="2"/>
        <v>206</v>
      </c>
      <c r="N22" s="16">
        <f t="shared" si="3"/>
        <v>525922.4702000001</v>
      </c>
      <c r="P22" s="11">
        <v>507949.54080000008</v>
      </c>
      <c r="Q22" s="11">
        <f t="shared" si="4"/>
        <v>17972.929400000023</v>
      </c>
      <c r="S22" s="30">
        <v>208</v>
      </c>
      <c r="T22" s="30">
        <v>0</v>
      </c>
      <c r="U22" s="30">
        <v>0</v>
      </c>
      <c r="W22" s="11">
        <f t="shared" si="5"/>
        <v>-2</v>
      </c>
      <c r="X22" s="11">
        <f t="shared" si="5"/>
        <v>0</v>
      </c>
      <c r="Y22" s="11">
        <f t="shared" si="5"/>
        <v>0</v>
      </c>
      <c r="AC22" s="16">
        <v>503065.41059999994</v>
      </c>
    </row>
    <row r="23" spans="1:29" x14ac:dyDescent="0.2">
      <c r="A23" s="9" t="s">
        <v>24</v>
      </c>
      <c r="B23" s="10">
        <v>2456</v>
      </c>
      <c r="C23" s="9">
        <v>179</v>
      </c>
      <c r="D23" s="9">
        <v>0</v>
      </c>
      <c r="E23" s="9">
        <v>0</v>
      </c>
      <c r="F23" s="9">
        <f t="shared" si="0"/>
        <v>179</v>
      </c>
      <c r="G23" s="9">
        <v>0</v>
      </c>
      <c r="H23" s="9">
        <v>0</v>
      </c>
      <c r="I23" s="9">
        <v>0</v>
      </c>
      <c r="J23" s="9">
        <f t="shared" si="1"/>
        <v>179</v>
      </c>
      <c r="K23" s="9">
        <f t="shared" si="1"/>
        <v>0</v>
      </c>
      <c r="L23" s="9">
        <f t="shared" si="1"/>
        <v>0</v>
      </c>
      <c r="M23" s="31">
        <f t="shared" si="2"/>
        <v>179</v>
      </c>
      <c r="N23" s="16">
        <f t="shared" si="3"/>
        <v>456990.88430000003</v>
      </c>
      <c r="P23" s="11">
        <v>434687.58780000004</v>
      </c>
      <c r="Q23" s="11">
        <f t="shared" si="4"/>
        <v>22303.296499999997</v>
      </c>
      <c r="S23" s="30">
        <v>178</v>
      </c>
      <c r="T23" s="30">
        <v>0</v>
      </c>
      <c r="U23" s="30">
        <v>0</v>
      </c>
      <c r="W23" s="11">
        <f t="shared" si="5"/>
        <v>1</v>
      </c>
      <c r="X23" s="11">
        <f t="shared" si="5"/>
        <v>0</v>
      </c>
      <c r="Y23" s="11">
        <f t="shared" si="5"/>
        <v>0</v>
      </c>
      <c r="AC23" s="16">
        <v>437129.65289999999</v>
      </c>
    </row>
    <row r="24" spans="1:29" x14ac:dyDescent="0.2">
      <c r="A24" s="9" t="s">
        <v>25</v>
      </c>
      <c r="B24" s="10">
        <v>2449</v>
      </c>
      <c r="C24" s="9">
        <v>270</v>
      </c>
      <c r="D24" s="9">
        <v>0</v>
      </c>
      <c r="E24" s="9">
        <v>0</v>
      </c>
      <c r="F24" s="9">
        <f t="shared" si="0"/>
        <v>270</v>
      </c>
      <c r="G24" s="9">
        <v>0</v>
      </c>
      <c r="H24" s="9">
        <v>0</v>
      </c>
      <c r="I24" s="9">
        <v>0</v>
      </c>
      <c r="J24" s="9">
        <f t="shared" si="1"/>
        <v>270</v>
      </c>
      <c r="K24" s="9">
        <f t="shared" si="1"/>
        <v>0</v>
      </c>
      <c r="L24" s="9">
        <f t="shared" si="1"/>
        <v>0</v>
      </c>
      <c r="M24" s="31">
        <f t="shared" si="2"/>
        <v>270</v>
      </c>
      <c r="N24" s="16">
        <f t="shared" si="3"/>
        <v>689315.85900000005</v>
      </c>
      <c r="P24" s="11">
        <v>654473.44680000003</v>
      </c>
      <c r="Q24" s="11">
        <f t="shared" si="4"/>
        <v>34842.412200000021</v>
      </c>
      <c r="S24" s="30">
        <v>268</v>
      </c>
      <c r="T24" s="30">
        <v>0</v>
      </c>
      <c r="U24" s="30">
        <v>0</v>
      </c>
      <c r="W24" s="11">
        <f t="shared" si="5"/>
        <v>2</v>
      </c>
      <c r="X24" s="11">
        <f t="shared" si="5"/>
        <v>0</v>
      </c>
      <c r="Y24" s="11">
        <f t="shared" si="5"/>
        <v>0</v>
      </c>
      <c r="AC24" s="16">
        <v>659357.57699999993</v>
      </c>
    </row>
    <row r="25" spans="1:29" x14ac:dyDescent="0.2">
      <c r="A25" s="9" t="s">
        <v>26</v>
      </c>
      <c r="B25" s="10">
        <v>2448</v>
      </c>
      <c r="C25" s="9">
        <v>334</v>
      </c>
      <c r="D25" s="9">
        <v>0</v>
      </c>
      <c r="E25" s="9">
        <v>0</v>
      </c>
      <c r="F25" s="9">
        <f t="shared" si="0"/>
        <v>334</v>
      </c>
      <c r="G25" s="9">
        <v>0</v>
      </c>
      <c r="H25" s="9">
        <v>0</v>
      </c>
      <c r="I25" s="9">
        <v>0</v>
      </c>
      <c r="J25" s="9">
        <f t="shared" si="1"/>
        <v>334</v>
      </c>
      <c r="K25" s="9">
        <f t="shared" si="1"/>
        <v>0</v>
      </c>
      <c r="L25" s="9">
        <f t="shared" si="1"/>
        <v>0</v>
      </c>
      <c r="M25" s="31">
        <f t="shared" si="2"/>
        <v>334</v>
      </c>
      <c r="N25" s="16">
        <f t="shared" si="3"/>
        <v>852709.24780000013</v>
      </c>
      <c r="P25" s="11">
        <v>759482.24610000011</v>
      </c>
      <c r="Q25" s="11">
        <f t="shared" si="4"/>
        <v>93227.001700000023</v>
      </c>
      <c r="S25" s="30">
        <v>311</v>
      </c>
      <c r="T25" s="30">
        <v>0</v>
      </c>
      <c r="U25" s="30">
        <v>0</v>
      </c>
      <c r="W25" s="11">
        <f t="shared" si="5"/>
        <v>23</v>
      </c>
      <c r="X25" s="11">
        <f t="shared" si="5"/>
        <v>0</v>
      </c>
      <c r="Y25" s="11">
        <f t="shared" si="5"/>
        <v>0</v>
      </c>
      <c r="AC25" s="16">
        <v>815649.74339999992</v>
      </c>
    </row>
    <row r="26" spans="1:29" x14ac:dyDescent="0.2">
      <c r="A26" s="9" t="s">
        <v>97</v>
      </c>
      <c r="B26" s="10">
        <v>2467</v>
      </c>
      <c r="C26" s="9">
        <v>349</v>
      </c>
      <c r="D26" s="9">
        <v>0</v>
      </c>
      <c r="E26" s="9">
        <v>0</v>
      </c>
      <c r="F26" s="9">
        <f t="shared" si="0"/>
        <v>349</v>
      </c>
      <c r="G26" s="9">
        <v>0</v>
      </c>
      <c r="H26" s="9">
        <v>0</v>
      </c>
      <c r="I26" s="9">
        <v>0</v>
      </c>
      <c r="J26" s="9">
        <f t="shared" si="1"/>
        <v>349</v>
      </c>
      <c r="K26" s="9">
        <f t="shared" si="1"/>
        <v>0</v>
      </c>
      <c r="L26" s="9">
        <f t="shared" si="1"/>
        <v>0</v>
      </c>
      <c r="M26" s="31">
        <f t="shared" si="2"/>
        <v>349</v>
      </c>
      <c r="N26" s="16">
        <f t="shared" si="3"/>
        <v>891004.57330000005</v>
      </c>
      <c r="P26" s="11">
        <v>884027.56620000012</v>
      </c>
      <c r="Q26" s="11">
        <f t="shared" si="4"/>
        <v>6977.0070999999298</v>
      </c>
      <c r="S26" s="30">
        <v>362</v>
      </c>
      <c r="T26" s="30">
        <v>0</v>
      </c>
      <c r="U26" s="30">
        <v>0</v>
      </c>
      <c r="W26" s="11">
        <f t="shared" si="5"/>
        <v>-13</v>
      </c>
      <c r="X26" s="11">
        <f t="shared" si="5"/>
        <v>0</v>
      </c>
      <c r="Y26" s="11">
        <f t="shared" si="5"/>
        <v>0</v>
      </c>
      <c r="AC26" s="16">
        <v>852280.71989999991</v>
      </c>
    </row>
    <row r="27" spans="1:29" x14ac:dyDescent="0.2">
      <c r="A27" s="9" t="s">
        <v>28</v>
      </c>
      <c r="B27" s="10">
        <v>2455</v>
      </c>
      <c r="C27" s="9">
        <v>351</v>
      </c>
      <c r="D27" s="9">
        <v>0</v>
      </c>
      <c r="E27" s="9">
        <v>0</v>
      </c>
      <c r="F27" s="9">
        <f t="shared" si="0"/>
        <v>351</v>
      </c>
      <c r="G27" s="9">
        <v>0</v>
      </c>
      <c r="H27" s="9">
        <v>0</v>
      </c>
      <c r="I27" s="9">
        <v>0</v>
      </c>
      <c r="J27" s="9">
        <f t="shared" si="1"/>
        <v>351</v>
      </c>
      <c r="K27" s="9">
        <f t="shared" si="1"/>
        <v>0</v>
      </c>
      <c r="L27" s="9">
        <f t="shared" si="1"/>
        <v>0</v>
      </c>
      <c r="M27" s="31">
        <f t="shared" si="2"/>
        <v>351</v>
      </c>
      <c r="N27" s="16">
        <f t="shared" si="3"/>
        <v>896110.61670000013</v>
      </c>
      <c r="P27" s="11">
        <v>866933.11050000007</v>
      </c>
      <c r="Q27" s="11">
        <f t="shared" si="4"/>
        <v>29177.506200000062</v>
      </c>
      <c r="S27" s="30">
        <v>355</v>
      </c>
      <c r="T27" s="30">
        <v>0</v>
      </c>
      <c r="U27" s="30">
        <v>0</v>
      </c>
      <c r="W27" s="11">
        <f t="shared" si="5"/>
        <v>-4</v>
      </c>
      <c r="X27" s="11">
        <f t="shared" si="5"/>
        <v>0</v>
      </c>
      <c r="Y27" s="11">
        <f t="shared" si="5"/>
        <v>0</v>
      </c>
      <c r="AC27" s="16">
        <v>857164.85009999992</v>
      </c>
    </row>
    <row r="28" spans="1:29" x14ac:dyDescent="0.2">
      <c r="A28" s="9" t="s">
        <v>29</v>
      </c>
      <c r="B28" s="10">
        <v>5203</v>
      </c>
      <c r="C28" s="9">
        <v>485</v>
      </c>
      <c r="D28" s="9">
        <v>0</v>
      </c>
      <c r="E28" s="9">
        <v>0</v>
      </c>
      <c r="F28" s="9">
        <f t="shared" si="0"/>
        <v>485</v>
      </c>
      <c r="G28" s="9">
        <v>0</v>
      </c>
      <c r="H28" s="9">
        <v>0</v>
      </c>
      <c r="I28" s="9">
        <v>0</v>
      </c>
      <c r="J28" s="9">
        <f t="shared" si="1"/>
        <v>485</v>
      </c>
      <c r="K28" s="9">
        <f t="shared" si="1"/>
        <v>0</v>
      </c>
      <c r="L28" s="9">
        <f t="shared" si="1"/>
        <v>0</v>
      </c>
      <c r="M28" s="31">
        <f t="shared" si="2"/>
        <v>485</v>
      </c>
      <c r="N28" s="16">
        <f t="shared" si="3"/>
        <v>1238215.5245000001</v>
      </c>
      <c r="P28" s="11">
        <v>1172191.2480000001</v>
      </c>
      <c r="Q28" s="11">
        <f t="shared" si="4"/>
        <v>66024.27649999992</v>
      </c>
      <c r="S28" s="30">
        <v>480</v>
      </c>
      <c r="T28" s="30">
        <v>0</v>
      </c>
      <c r="U28" s="30">
        <v>0</v>
      </c>
      <c r="W28" s="11">
        <f t="shared" si="5"/>
        <v>5</v>
      </c>
      <c r="X28" s="11">
        <f t="shared" si="5"/>
        <v>0</v>
      </c>
      <c r="Y28" s="11">
        <f t="shared" si="5"/>
        <v>0</v>
      </c>
      <c r="AC28" s="16">
        <v>1184401.5734999999</v>
      </c>
    </row>
    <row r="29" spans="1:29" x14ac:dyDescent="0.2">
      <c r="A29" s="9" t="s">
        <v>30</v>
      </c>
      <c r="B29" s="10">
        <v>2451</v>
      </c>
      <c r="C29" s="9">
        <v>472</v>
      </c>
      <c r="D29" s="9">
        <v>0</v>
      </c>
      <c r="E29" s="9">
        <v>0</v>
      </c>
      <c r="F29" s="9">
        <f t="shared" si="0"/>
        <v>472</v>
      </c>
      <c r="G29" s="9">
        <v>0</v>
      </c>
      <c r="H29" s="9">
        <v>0</v>
      </c>
      <c r="I29" s="9">
        <v>0</v>
      </c>
      <c r="J29" s="9">
        <f t="shared" si="1"/>
        <v>472</v>
      </c>
      <c r="K29" s="9">
        <f t="shared" si="1"/>
        <v>0</v>
      </c>
      <c r="L29" s="9">
        <f t="shared" si="1"/>
        <v>0</v>
      </c>
      <c r="M29" s="31">
        <f t="shared" si="2"/>
        <v>472</v>
      </c>
      <c r="N29" s="16">
        <f t="shared" si="3"/>
        <v>1205026.2424000001</v>
      </c>
      <c r="P29" s="11">
        <v>1155096.7923000001</v>
      </c>
      <c r="Q29" s="11">
        <f t="shared" si="4"/>
        <v>49929.450100000016</v>
      </c>
      <c r="S29" s="30">
        <v>473</v>
      </c>
      <c r="T29" s="30">
        <v>0</v>
      </c>
      <c r="U29" s="30">
        <v>0</v>
      </c>
      <c r="W29" s="11">
        <f t="shared" si="5"/>
        <v>-1</v>
      </c>
      <c r="X29" s="11">
        <f t="shared" si="5"/>
        <v>0</v>
      </c>
      <c r="Y29" s="11">
        <f t="shared" si="5"/>
        <v>0</v>
      </c>
      <c r="AC29" s="16">
        <v>1152654.7271999998</v>
      </c>
    </row>
    <row r="30" spans="1:29" x14ac:dyDescent="0.2">
      <c r="A30" s="9" t="s">
        <v>31</v>
      </c>
      <c r="B30" s="10">
        <v>2409</v>
      </c>
      <c r="C30" s="9">
        <v>552</v>
      </c>
      <c r="D30" s="9">
        <v>0</v>
      </c>
      <c r="E30" s="9">
        <v>0</v>
      </c>
      <c r="F30" s="9">
        <f t="shared" si="0"/>
        <v>552</v>
      </c>
      <c r="G30" s="9">
        <v>0</v>
      </c>
      <c r="H30" s="9">
        <v>0</v>
      </c>
      <c r="I30" s="9">
        <v>0</v>
      </c>
      <c r="J30" s="9">
        <f t="shared" si="1"/>
        <v>552</v>
      </c>
      <c r="K30" s="9">
        <f t="shared" si="1"/>
        <v>0</v>
      </c>
      <c r="L30" s="9">
        <f t="shared" si="1"/>
        <v>0</v>
      </c>
      <c r="M30" s="31">
        <f t="shared" si="2"/>
        <v>552</v>
      </c>
      <c r="N30" s="16">
        <f t="shared" si="3"/>
        <v>1409267.9784000001</v>
      </c>
      <c r="P30" s="11">
        <v>1345577.8701000002</v>
      </c>
      <c r="Q30" s="11">
        <f t="shared" si="4"/>
        <v>63690.108299999963</v>
      </c>
      <c r="S30" s="30">
        <v>551</v>
      </c>
      <c r="T30" s="30">
        <v>0</v>
      </c>
      <c r="U30" s="30">
        <v>0</v>
      </c>
      <c r="W30" s="11">
        <f t="shared" si="5"/>
        <v>1</v>
      </c>
      <c r="X30" s="11">
        <f t="shared" si="5"/>
        <v>0</v>
      </c>
      <c r="Y30" s="11">
        <f t="shared" si="5"/>
        <v>0</v>
      </c>
      <c r="AC30" s="16">
        <v>1348019.9351999999</v>
      </c>
    </row>
    <row r="31" spans="1:29" x14ac:dyDescent="0.2">
      <c r="A31" s="9" t="s">
        <v>98</v>
      </c>
      <c r="B31" s="10">
        <v>3158</v>
      </c>
      <c r="C31" s="9">
        <v>120</v>
      </c>
      <c r="D31" s="9">
        <v>0</v>
      </c>
      <c r="E31" s="9">
        <v>0</v>
      </c>
      <c r="F31" s="9">
        <f t="shared" si="0"/>
        <v>120</v>
      </c>
      <c r="G31" s="9">
        <v>0</v>
      </c>
      <c r="H31" s="9">
        <v>0</v>
      </c>
      <c r="I31" s="9">
        <v>0</v>
      </c>
      <c r="J31" s="9">
        <f t="shared" si="1"/>
        <v>120</v>
      </c>
      <c r="K31" s="9">
        <f t="shared" si="1"/>
        <v>0</v>
      </c>
      <c r="L31" s="9">
        <f t="shared" si="1"/>
        <v>0</v>
      </c>
      <c r="M31" s="31">
        <f t="shared" si="2"/>
        <v>120</v>
      </c>
      <c r="N31" s="16">
        <f t="shared" si="3"/>
        <v>306362.60400000005</v>
      </c>
      <c r="P31" s="11">
        <v>285721.61670000001</v>
      </c>
      <c r="Q31" s="11">
        <f t="shared" si="4"/>
        <v>20640.987300000037</v>
      </c>
      <c r="S31" s="30">
        <v>117</v>
      </c>
      <c r="T31" s="30">
        <v>0</v>
      </c>
      <c r="U31" s="30">
        <v>0</v>
      </c>
      <c r="W31" s="11">
        <f t="shared" si="5"/>
        <v>3</v>
      </c>
      <c r="X31" s="11">
        <f t="shared" si="5"/>
        <v>0</v>
      </c>
      <c r="Y31" s="11">
        <f t="shared" si="5"/>
        <v>0</v>
      </c>
      <c r="AC31" s="16">
        <v>293047.81199999998</v>
      </c>
    </row>
    <row r="32" spans="1:29" x14ac:dyDescent="0.2">
      <c r="A32" s="9" t="s">
        <v>32</v>
      </c>
      <c r="B32" s="10">
        <v>2619</v>
      </c>
      <c r="C32" s="9">
        <v>204</v>
      </c>
      <c r="D32" s="9">
        <v>0</v>
      </c>
      <c r="E32" s="9">
        <v>0</v>
      </c>
      <c r="F32" s="9">
        <f t="shared" si="0"/>
        <v>204</v>
      </c>
      <c r="G32" s="9">
        <v>0</v>
      </c>
      <c r="H32" s="9">
        <v>0</v>
      </c>
      <c r="I32" s="9">
        <v>0</v>
      </c>
      <c r="J32" s="9">
        <f t="shared" si="1"/>
        <v>204</v>
      </c>
      <c r="K32" s="9">
        <f t="shared" si="1"/>
        <v>0</v>
      </c>
      <c r="L32" s="9">
        <f t="shared" si="1"/>
        <v>0</v>
      </c>
      <c r="M32" s="31">
        <f t="shared" si="2"/>
        <v>204</v>
      </c>
      <c r="N32" s="16">
        <f t="shared" si="3"/>
        <v>520816.42680000007</v>
      </c>
      <c r="P32" s="11">
        <v>485970.95490000007</v>
      </c>
      <c r="Q32" s="11">
        <f t="shared" si="4"/>
        <v>34845.471900000004</v>
      </c>
      <c r="S32" s="30">
        <v>199</v>
      </c>
      <c r="T32" s="30">
        <v>0</v>
      </c>
      <c r="U32" s="30">
        <v>0</v>
      </c>
      <c r="W32" s="11">
        <f t="shared" si="5"/>
        <v>5</v>
      </c>
      <c r="X32" s="11">
        <f t="shared" si="5"/>
        <v>0</v>
      </c>
      <c r="Y32" s="11">
        <f t="shared" si="5"/>
        <v>0</v>
      </c>
      <c r="AC32" s="16">
        <v>498181.28039999993</v>
      </c>
    </row>
    <row r="33" spans="1:29" x14ac:dyDescent="0.2">
      <c r="A33" s="9" t="s">
        <v>33</v>
      </c>
      <c r="B33" s="10">
        <v>2518</v>
      </c>
      <c r="C33" s="9">
        <v>340</v>
      </c>
      <c r="D33" s="9">
        <v>0</v>
      </c>
      <c r="E33" s="9">
        <v>0</v>
      </c>
      <c r="F33" s="9">
        <f t="shared" si="0"/>
        <v>340</v>
      </c>
      <c r="G33" s="9">
        <v>0</v>
      </c>
      <c r="H33" s="9">
        <v>0</v>
      </c>
      <c r="I33" s="9">
        <v>0</v>
      </c>
      <c r="J33" s="9">
        <f t="shared" si="1"/>
        <v>340</v>
      </c>
      <c r="K33" s="9">
        <f t="shared" si="1"/>
        <v>0</v>
      </c>
      <c r="L33" s="9">
        <f t="shared" si="1"/>
        <v>0</v>
      </c>
      <c r="M33" s="31">
        <f t="shared" si="2"/>
        <v>340</v>
      </c>
      <c r="N33" s="16">
        <f t="shared" si="3"/>
        <v>868027.37800000003</v>
      </c>
      <c r="P33" s="11">
        <v>725293.33470000012</v>
      </c>
      <c r="Q33" s="11">
        <f t="shared" si="4"/>
        <v>142734.0432999999</v>
      </c>
      <c r="S33" s="30">
        <v>297</v>
      </c>
      <c r="T33" s="30">
        <v>0</v>
      </c>
      <c r="U33" s="30">
        <v>0</v>
      </c>
      <c r="W33" s="11">
        <f t="shared" si="5"/>
        <v>43</v>
      </c>
      <c r="X33" s="11">
        <f t="shared" si="5"/>
        <v>0</v>
      </c>
      <c r="Y33" s="11">
        <f t="shared" si="5"/>
        <v>0</v>
      </c>
      <c r="AC33" s="16">
        <v>830302.13399999996</v>
      </c>
    </row>
    <row r="34" spans="1:29" x14ac:dyDescent="0.2">
      <c r="A34" s="9" t="s">
        <v>34</v>
      </c>
      <c r="B34" s="10">
        <v>2457</v>
      </c>
      <c r="C34" s="9">
        <v>362</v>
      </c>
      <c r="D34" s="9">
        <v>0</v>
      </c>
      <c r="E34" s="9">
        <v>0</v>
      </c>
      <c r="F34" s="9">
        <f t="shared" si="0"/>
        <v>362</v>
      </c>
      <c r="G34" s="9">
        <v>0</v>
      </c>
      <c r="H34" s="9">
        <v>0</v>
      </c>
      <c r="I34" s="9">
        <v>0</v>
      </c>
      <c r="J34" s="9">
        <f t="shared" si="1"/>
        <v>362</v>
      </c>
      <c r="K34" s="9">
        <f t="shared" si="1"/>
        <v>0</v>
      </c>
      <c r="L34" s="9">
        <f t="shared" si="1"/>
        <v>0</v>
      </c>
      <c r="M34" s="31">
        <f t="shared" si="2"/>
        <v>362</v>
      </c>
      <c r="N34" s="16">
        <f t="shared" si="3"/>
        <v>924193.85540000012</v>
      </c>
      <c r="P34" s="11">
        <v>874259.30580000009</v>
      </c>
      <c r="Q34" s="11">
        <f t="shared" si="4"/>
        <v>49934.549600000028</v>
      </c>
      <c r="S34" s="30">
        <v>358</v>
      </c>
      <c r="T34" s="30">
        <v>0</v>
      </c>
      <c r="U34" s="30">
        <v>0</v>
      </c>
      <c r="W34" s="11">
        <f t="shared" si="5"/>
        <v>4</v>
      </c>
      <c r="X34" s="11">
        <f t="shared" si="5"/>
        <v>0</v>
      </c>
      <c r="Y34" s="11">
        <f t="shared" si="5"/>
        <v>0</v>
      </c>
      <c r="AC34" s="16">
        <v>884027.56619999988</v>
      </c>
    </row>
    <row r="35" spans="1:29" s="33" customFormat="1" x14ac:dyDescent="0.2">
      <c r="A35" s="805" t="s">
        <v>99</v>
      </c>
      <c r="B35" s="27">
        <v>2010</v>
      </c>
      <c r="C35" s="805">
        <v>204</v>
      </c>
      <c r="D35" s="805">
        <v>0</v>
      </c>
      <c r="E35" s="805">
        <v>0</v>
      </c>
      <c r="F35" s="805">
        <f t="shared" si="0"/>
        <v>204</v>
      </c>
      <c r="G35" s="805">
        <v>0</v>
      </c>
      <c r="H35" s="805">
        <v>0</v>
      </c>
      <c r="I35" s="805">
        <v>0</v>
      </c>
      <c r="J35" s="805">
        <f t="shared" si="1"/>
        <v>204</v>
      </c>
      <c r="K35" s="805">
        <f t="shared" si="1"/>
        <v>0</v>
      </c>
      <c r="L35" s="805">
        <f t="shared" si="1"/>
        <v>0</v>
      </c>
      <c r="M35" s="806">
        <f t="shared" si="2"/>
        <v>204</v>
      </c>
      <c r="N35" s="807">
        <f t="shared" si="3"/>
        <v>520816.42680000007</v>
      </c>
      <c r="O35" s="809"/>
      <c r="P35" s="809">
        <v>471318.56430000003</v>
      </c>
      <c r="Q35" s="809">
        <f t="shared" si="4"/>
        <v>49497.862500000047</v>
      </c>
      <c r="S35" s="33">
        <v>193</v>
      </c>
      <c r="T35" s="33">
        <v>0</v>
      </c>
      <c r="U35" s="33">
        <v>0</v>
      </c>
      <c r="W35" s="809">
        <f t="shared" si="5"/>
        <v>11</v>
      </c>
      <c r="X35" s="809">
        <f t="shared" si="5"/>
        <v>0</v>
      </c>
      <c r="Y35" s="809">
        <f t="shared" si="5"/>
        <v>0</v>
      </c>
      <c r="AC35" s="16">
        <v>498181.28039999993</v>
      </c>
    </row>
    <row r="36" spans="1:29" x14ac:dyDescent="0.2">
      <c r="A36" s="9" t="s">
        <v>35</v>
      </c>
      <c r="B36" s="10">
        <v>2002</v>
      </c>
      <c r="C36" s="9">
        <v>430</v>
      </c>
      <c r="D36" s="9">
        <v>0</v>
      </c>
      <c r="E36" s="9">
        <v>0</v>
      </c>
      <c r="F36" s="9">
        <f t="shared" si="0"/>
        <v>430</v>
      </c>
      <c r="G36" s="9">
        <v>0</v>
      </c>
      <c r="H36" s="9">
        <v>0</v>
      </c>
      <c r="I36" s="9">
        <v>0</v>
      </c>
      <c r="J36" s="9">
        <f t="shared" si="1"/>
        <v>430</v>
      </c>
      <c r="K36" s="9">
        <f t="shared" si="1"/>
        <v>0</v>
      </c>
      <c r="L36" s="9">
        <f t="shared" si="1"/>
        <v>0</v>
      </c>
      <c r="M36" s="31">
        <f t="shared" si="2"/>
        <v>430</v>
      </c>
      <c r="N36" s="16">
        <f t="shared" si="3"/>
        <v>1097799.331</v>
      </c>
      <c r="P36" s="11">
        <v>1040319.7326000001</v>
      </c>
      <c r="Q36" s="11">
        <f t="shared" si="4"/>
        <v>57479.598399999901</v>
      </c>
      <c r="S36" s="30">
        <v>426</v>
      </c>
      <c r="T36" s="30">
        <v>0</v>
      </c>
      <c r="U36" s="30">
        <v>0</v>
      </c>
      <c r="W36" s="11">
        <f t="shared" si="5"/>
        <v>4</v>
      </c>
      <c r="X36" s="11">
        <f t="shared" si="5"/>
        <v>0</v>
      </c>
      <c r="Y36" s="11">
        <f t="shared" si="5"/>
        <v>0</v>
      </c>
      <c r="AC36" s="16">
        <v>1050087.993</v>
      </c>
    </row>
    <row r="37" spans="1:29" x14ac:dyDescent="0.2">
      <c r="A37" s="9" t="s">
        <v>36</v>
      </c>
      <c r="B37" s="10">
        <v>3544</v>
      </c>
      <c r="C37" s="9">
        <v>537</v>
      </c>
      <c r="D37" s="9">
        <v>0</v>
      </c>
      <c r="E37" s="9">
        <v>0</v>
      </c>
      <c r="F37" s="9">
        <f t="shared" si="0"/>
        <v>537</v>
      </c>
      <c r="G37" s="9">
        <v>0</v>
      </c>
      <c r="H37" s="9">
        <v>0</v>
      </c>
      <c r="I37" s="9">
        <v>0</v>
      </c>
      <c r="J37" s="9">
        <f t="shared" si="1"/>
        <v>537</v>
      </c>
      <c r="K37" s="9">
        <f t="shared" si="1"/>
        <v>0</v>
      </c>
      <c r="L37" s="9">
        <f t="shared" si="1"/>
        <v>0</v>
      </c>
      <c r="M37" s="31">
        <f t="shared" si="2"/>
        <v>537</v>
      </c>
      <c r="N37" s="16">
        <f t="shared" si="3"/>
        <v>1370972.6529000001</v>
      </c>
      <c r="P37" s="11">
        <v>1311388.9587000001</v>
      </c>
      <c r="Q37" s="11">
        <f t="shared" si="4"/>
        <v>59583.694200000027</v>
      </c>
      <c r="S37" s="30">
        <v>537</v>
      </c>
      <c r="T37" s="30">
        <v>0</v>
      </c>
      <c r="U37" s="30">
        <v>0</v>
      </c>
      <c r="W37" s="11">
        <f t="shared" si="5"/>
        <v>0</v>
      </c>
      <c r="X37" s="11">
        <f t="shared" si="5"/>
        <v>0</v>
      </c>
      <c r="Y37" s="11">
        <f t="shared" si="5"/>
        <v>0</v>
      </c>
      <c r="AC37" s="16">
        <v>1311388.9586999998</v>
      </c>
    </row>
    <row r="38" spans="1:29" x14ac:dyDescent="0.2">
      <c r="A38" s="9" t="s">
        <v>100</v>
      </c>
      <c r="B38" s="10">
        <v>2006</v>
      </c>
      <c r="C38" s="9">
        <v>263</v>
      </c>
      <c r="D38" s="9">
        <v>0</v>
      </c>
      <c r="E38" s="9">
        <v>0</v>
      </c>
      <c r="F38" s="9">
        <f t="shared" si="0"/>
        <v>263</v>
      </c>
      <c r="G38" s="9">
        <v>0</v>
      </c>
      <c r="H38" s="9">
        <v>0</v>
      </c>
      <c r="I38" s="9">
        <v>0</v>
      </c>
      <c r="J38" s="9">
        <f t="shared" si="1"/>
        <v>263</v>
      </c>
      <c r="K38" s="9">
        <f t="shared" si="1"/>
        <v>0</v>
      </c>
      <c r="L38" s="9">
        <f t="shared" si="1"/>
        <v>0</v>
      </c>
      <c r="M38" s="31">
        <f t="shared" si="2"/>
        <v>263</v>
      </c>
      <c r="N38" s="16">
        <f t="shared" si="3"/>
        <v>671444.70710000012</v>
      </c>
      <c r="P38" s="11">
        <v>600748.01460000011</v>
      </c>
      <c r="Q38" s="11">
        <f t="shared" si="4"/>
        <v>70696.692500000005</v>
      </c>
      <c r="S38" s="30">
        <v>246</v>
      </c>
      <c r="T38" s="30">
        <v>0</v>
      </c>
      <c r="U38" s="30">
        <v>0</v>
      </c>
      <c r="W38" s="11">
        <f t="shared" si="5"/>
        <v>17</v>
      </c>
      <c r="X38" s="11">
        <f t="shared" si="5"/>
        <v>0</v>
      </c>
      <c r="Y38" s="11">
        <f t="shared" si="5"/>
        <v>0</v>
      </c>
      <c r="AC38" s="16">
        <v>642263.1213</v>
      </c>
    </row>
    <row r="39" spans="1:29" x14ac:dyDescent="0.2">
      <c r="A39" s="9" t="s">
        <v>37</v>
      </c>
      <c r="B39" s="10">
        <v>2434</v>
      </c>
      <c r="C39" s="9">
        <v>473</v>
      </c>
      <c r="D39" s="9">
        <v>0</v>
      </c>
      <c r="E39" s="9">
        <v>0</v>
      </c>
      <c r="F39" s="9">
        <f t="shared" si="0"/>
        <v>473</v>
      </c>
      <c r="G39" s="808">
        <v>12</v>
      </c>
      <c r="H39" s="9">
        <v>0</v>
      </c>
      <c r="I39" s="9">
        <v>0</v>
      </c>
      <c r="J39" s="9">
        <f t="shared" si="1"/>
        <v>461</v>
      </c>
      <c r="K39" s="9">
        <f t="shared" si="1"/>
        <v>0</v>
      </c>
      <c r="L39" s="9">
        <f t="shared" si="1"/>
        <v>0</v>
      </c>
      <c r="M39" s="31">
        <f t="shared" si="2"/>
        <v>461</v>
      </c>
      <c r="N39" s="16">
        <f t="shared" si="3"/>
        <v>1176943.0037</v>
      </c>
      <c r="P39" s="11">
        <v>1052530.0581</v>
      </c>
      <c r="Q39" s="11">
        <f t="shared" si="4"/>
        <v>124412.94559999998</v>
      </c>
      <c r="S39" s="30">
        <v>431</v>
      </c>
      <c r="T39" s="30">
        <v>0</v>
      </c>
      <c r="U39" s="30">
        <v>0</v>
      </c>
      <c r="W39" s="11">
        <f t="shared" si="5"/>
        <v>30</v>
      </c>
      <c r="X39" s="11">
        <f t="shared" si="5"/>
        <v>0</v>
      </c>
      <c r="Y39" s="11">
        <f t="shared" si="5"/>
        <v>0</v>
      </c>
      <c r="AC39" s="16">
        <v>1125792.0111</v>
      </c>
    </row>
    <row r="40" spans="1:29" x14ac:dyDescent="0.2">
      <c r="A40" s="9" t="s">
        <v>38</v>
      </c>
      <c r="B40" s="10">
        <v>2522</v>
      </c>
      <c r="C40" s="9">
        <v>388</v>
      </c>
      <c r="D40" s="9">
        <v>0</v>
      </c>
      <c r="E40" s="9">
        <v>0</v>
      </c>
      <c r="F40" s="9">
        <f t="shared" si="0"/>
        <v>388</v>
      </c>
      <c r="G40" s="9">
        <v>0</v>
      </c>
      <c r="H40" s="9">
        <v>0</v>
      </c>
      <c r="I40" s="9">
        <v>0</v>
      </c>
      <c r="J40" s="9">
        <f t="shared" si="1"/>
        <v>388</v>
      </c>
      <c r="K40" s="9">
        <f t="shared" si="1"/>
        <v>0</v>
      </c>
      <c r="L40" s="9">
        <f t="shared" si="1"/>
        <v>0</v>
      </c>
      <c r="M40" s="31">
        <f t="shared" si="2"/>
        <v>388</v>
      </c>
      <c r="N40" s="16">
        <f t="shared" si="3"/>
        <v>990572.41960000014</v>
      </c>
      <c r="P40" s="11">
        <v>1006130.8212000001</v>
      </c>
      <c r="Q40" s="11">
        <f t="shared" si="4"/>
        <v>-15558.401599999983</v>
      </c>
      <c r="S40" s="30">
        <v>412</v>
      </c>
      <c r="T40" s="30">
        <v>0</v>
      </c>
      <c r="U40" s="30">
        <v>0</v>
      </c>
      <c r="W40" s="11">
        <f t="shared" si="5"/>
        <v>-24</v>
      </c>
      <c r="X40" s="11">
        <f t="shared" si="5"/>
        <v>0</v>
      </c>
      <c r="Y40" s="11">
        <f t="shared" si="5"/>
        <v>0</v>
      </c>
      <c r="AC40" s="16">
        <v>947521.25879999995</v>
      </c>
    </row>
    <row r="41" spans="1:29" x14ac:dyDescent="0.2">
      <c r="A41" s="9" t="s">
        <v>39</v>
      </c>
      <c r="B41" s="10">
        <v>2436</v>
      </c>
      <c r="C41" s="9">
        <v>342</v>
      </c>
      <c r="D41" s="9">
        <v>0</v>
      </c>
      <c r="E41" s="9">
        <v>0</v>
      </c>
      <c r="F41" s="9">
        <f t="shared" si="0"/>
        <v>342</v>
      </c>
      <c r="G41" s="808">
        <v>6</v>
      </c>
      <c r="H41" s="9">
        <v>0</v>
      </c>
      <c r="I41" s="9">
        <v>0</v>
      </c>
      <c r="J41" s="9">
        <f t="shared" si="1"/>
        <v>336</v>
      </c>
      <c r="K41" s="9">
        <f t="shared" si="1"/>
        <v>0</v>
      </c>
      <c r="L41" s="9">
        <f t="shared" si="1"/>
        <v>0</v>
      </c>
      <c r="M41" s="31">
        <f t="shared" si="2"/>
        <v>336</v>
      </c>
      <c r="N41" s="16">
        <f t="shared" si="3"/>
        <v>857815.29120000009</v>
      </c>
      <c r="P41" s="11">
        <v>783902.89710000006</v>
      </c>
      <c r="Q41" s="11">
        <f t="shared" si="4"/>
        <v>73912.394100000034</v>
      </c>
      <c r="S41" s="30">
        <v>321</v>
      </c>
      <c r="T41" s="30">
        <v>0</v>
      </c>
      <c r="U41" s="30">
        <v>0</v>
      </c>
      <c r="W41" s="11">
        <f t="shared" si="5"/>
        <v>15</v>
      </c>
      <c r="X41" s="11">
        <f t="shared" si="5"/>
        <v>0</v>
      </c>
      <c r="Y41" s="11">
        <f t="shared" si="5"/>
        <v>0</v>
      </c>
      <c r="AC41" s="16">
        <v>820533.87359999993</v>
      </c>
    </row>
    <row r="42" spans="1:29" x14ac:dyDescent="0.2">
      <c r="A42" s="9" t="s">
        <v>40</v>
      </c>
      <c r="B42" s="10">
        <v>2452</v>
      </c>
      <c r="C42" s="9">
        <v>202</v>
      </c>
      <c r="D42" s="9">
        <v>0</v>
      </c>
      <c r="E42" s="9">
        <v>0</v>
      </c>
      <c r="F42" s="9">
        <f t="shared" si="0"/>
        <v>202</v>
      </c>
      <c r="G42" s="9">
        <v>0</v>
      </c>
      <c r="H42" s="9">
        <v>0</v>
      </c>
      <c r="I42" s="9">
        <v>0</v>
      </c>
      <c r="J42" s="9">
        <f t="shared" si="1"/>
        <v>202</v>
      </c>
      <c r="K42" s="9">
        <f t="shared" si="1"/>
        <v>0</v>
      </c>
      <c r="L42" s="9">
        <f t="shared" si="1"/>
        <v>0</v>
      </c>
      <c r="M42" s="31">
        <f t="shared" si="2"/>
        <v>202</v>
      </c>
      <c r="N42" s="16">
        <f t="shared" si="3"/>
        <v>515710.38340000005</v>
      </c>
      <c r="P42" s="11">
        <v>505507.47570000007</v>
      </c>
      <c r="Q42" s="11">
        <f t="shared" si="4"/>
        <v>10202.907699999982</v>
      </c>
      <c r="S42" s="30">
        <v>207</v>
      </c>
      <c r="T42" s="30">
        <v>0</v>
      </c>
      <c r="U42" s="30">
        <v>0</v>
      </c>
      <c r="W42" s="11">
        <f t="shared" si="5"/>
        <v>-5</v>
      </c>
      <c r="X42" s="11">
        <f t="shared" si="5"/>
        <v>0</v>
      </c>
      <c r="Y42" s="11">
        <f t="shared" si="5"/>
        <v>0</v>
      </c>
      <c r="AC42" s="16">
        <v>493297.15019999997</v>
      </c>
    </row>
    <row r="43" spans="1:29" x14ac:dyDescent="0.2">
      <c r="A43" s="9" t="s">
        <v>41</v>
      </c>
      <c r="B43" s="10">
        <v>2627</v>
      </c>
      <c r="C43" s="9">
        <v>392</v>
      </c>
      <c r="D43" s="9">
        <v>0</v>
      </c>
      <c r="E43" s="9">
        <v>0</v>
      </c>
      <c r="F43" s="9">
        <f t="shared" si="0"/>
        <v>392</v>
      </c>
      <c r="G43" s="9">
        <v>0</v>
      </c>
      <c r="H43" s="9">
        <v>0</v>
      </c>
      <c r="I43" s="9">
        <v>0</v>
      </c>
      <c r="J43" s="9">
        <f t="shared" si="1"/>
        <v>392</v>
      </c>
      <c r="K43" s="9">
        <f t="shared" si="1"/>
        <v>0</v>
      </c>
      <c r="L43" s="9">
        <f t="shared" si="1"/>
        <v>0</v>
      </c>
      <c r="M43" s="31">
        <f t="shared" si="2"/>
        <v>392</v>
      </c>
      <c r="N43" s="16">
        <f t="shared" si="3"/>
        <v>1000784.5064000001</v>
      </c>
      <c r="P43" s="11">
        <v>947521.25880000007</v>
      </c>
      <c r="Q43" s="11">
        <f t="shared" si="4"/>
        <v>53263.247600000002</v>
      </c>
      <c r="S43" s="30">
        <v>388</v>
      </c>
      <c r="T43" s="30">
        <v>0</v>
      </c>
      <c r="U43" s="30">
        <v>0</v>
      </c>
      <c r="W43" s="11">
        <f t="shared" si="5"/>
        <v>4</v>
      </c>
      <c r="X43" s="11">
        <f t="shared" si="5"/>
        <v>0</v>
      </c>
      <c r="Y43" s="11">
        <f t="shared" si="5"/>
        <v>0</v>
      </c>
      <c r="AC43" s="16">
        <v>957289.51919999998</v>
      </c>
    </row>
    <row r="44" spans="1:29" s="33" customFormat="1" x14ac:dyDescent="0.2">
      <c r="A44" s="805" t="s">
        <v>42</v>
      </c>
      <c r="B44" s="27">
        <v>2009</v>
      </c>
      <c r="C44" s="805">
        <v>284</v>
      </c>
      <c r="D44" s="805">
        <v>0</v>
      </c>
      <c r="E44" s="805">
        <v>0</v>
      </c>
      <c r="F44" s="805">
        <f t="shared" si="0"/>
        <v>284</v>
      </c>
      <c r="G44" s="805">
        <v>0</v>
      </c>
      <c r="H44" s="805">
        <v>0</v>
      </c>
      <c r="I44" s="805">
        <v>0</v>
      </c>
      <c r="J44" s="805">
        <f t="shared" si="1"/>
        <v>284</v>
      </c>
      <c r="K44" s="805">
        <f t="shared" si="1"/>
        <v>0</v>
      </c>
      <c r="L44" s="805">
        <f t="shared" si="1"/>
        <v>0</v>
      </c>
      <c r="M44" s="806">
        <f t="shared" si="2"/>
        <v>284</v>
      </c>
      <c r="N44" s="807">
        <f t="shared" si="3"/>
        <v>725058.16280000005</v>
      </c>
      <c r="O44" s="809"/>
      <c r="P44" s="809">
        <v>674009.96760000009</v>
      </c>
      <c r="Q44" s="809">
        <f t="shared" si="4"/>
        <v>51048.195199999958</v>
      </c>
      <c r="S44" s="33">
        <v>276</v>
      </c>
      <c r="T44" s="33">
        <v>0</v>
      </c>
      <c r="U44" s="33">
        <v>0</v>
      </c>
      <c r="W44" s="809">
        <f t="shared" si="5"/>
        <v>8</v>
      </c>
      <c r="X44" s="809">
        <f t="shared" si="5"/>
        <v>0</v>
      </c>
      <c r="Y44" s="809">
        <f t="shared" si="5"/>
        <v>0</v>
      </c>
      <c r="AC44" s="16">
        <v>693546.48839999991</v>
      </c>
    </row>
    <row r="45" spans="1:29" x14ac:dyDescent="0.2">
      <c r="A45" s="9" t="s">
        <v>101</v>
      </c>
      <c r="B45" s="10">
        <v>2473</v>
      </c>
      <c r="C45" s="9">
        <v>269</v>
      </c>
      <c r="D45" s="9">
        <v>0</v>
      </c>
      <c r="E45" s="9">
        <v>0</v>
      </c>
      <c r="F45" s="9">
        <f t="shared" si="0"/>
        <v>269</v>
      </c>
      <c r="G45" s="9">
        <v>0</v>
      </c>
      <c r="H45" s="9">
        <v>0</v>
      </c>
      <c r="I45" s="9">
        <v>0</v>
      </c>
      <c r="J45" s="9">
        <f t="shared" si="1"/>
        <v>269</v>
      </c>
      <c r="K45" s="9">
        <f t="shared" si="1"/>
        <v>0</v>
      </c>
      <c r="L45" s="9">
        <f t="shared" si="1"/>
        <v>0</v>
      </c>
      <c r="M45" s="31">
        <f t="shared" si="2"/>
        <v>269</v>
      </c>
      <c r="N45" s="16">
        <f t="shared" si="3"/>
        <v>686762.83730000001</v>
      </c>
      <c r="P45" s="11">
        <v>652031.38170000003</v>
      </c>
      <c r="Q45" s="11">
        <f t="shared" si="4"/>
        <v>34731.455599999987</v>
      </c>
      <c r="S45" s="30">
        <v>267</v>
      </c>
      <c r="T45" s="30">
        <v>0</v>
      </c>
      <c r="U45" s="30">
        <v>0</v>
      </c>
      <c r="W45" s="11">
        <f t="shared" si="5"/>
        <v>2</v>
      </c>
      <c r="X45" s="11">
        <f t="shared" si="5"/>
        <v>0</v>
      </c>
      <c r="Y45" s="11">
        <f t="shared" si="5"/>
        <v>0</v>
      </c>
      <c r="AC45" s="16">
        <v>656915.51189999992</v>
      </c>
    </row>
    <row r="46" spans="1:29" x14ac:dyDescent="0.2">
      <c r="A46" s="9" t="s">
        <v>44</v>
      </c>
      <c r="B46" s="10">
        <v>2471</v>
      </c>
      <c r="C46" s="9">
        <v>350</v>
      </c>
      <c r="D46" s="9">
        <v>0</v>
      </c>
      <c r="E46" s="9">
        <v>0</v>
      </c>
      <c r="F46" s="9">
        <f t="shared" si="0"/>
        <v>350</v>
      </c>
      <c r="G46" s="9">
        <v>0</v>
      </c>
      <c r="H46" s="9">
        <v>0</v>
      </c>
      <c r="I46" s="9">
        <v>0</v>
      </c>
      <c r="J46" s="9">
        <f t="shared" si="1"/>
        <v>350</v>
      </c>
      <c r="K46" s="9">
        <f t="shared" si="1"/>
        <v>0</v>
      </c>
      <c r="L46" s="9">
        <f t="shared" si="1"/>
        <v>0</v>
      </c>
      <c r="M46" s="31">
        <f t="shared" si="2"/>
        <v>350</v>
      </c>
      <c r="N46" s="16">
        <f t="shared" si="3"/>
        <v>893557.59500000009</v>
      </c>
      <c r="P46" s="11">
        <v>844954.52460000012</v>
      </c>
      <c r="Q46" s="11">
        <f t="shared" si="4"/>
        <v>48603.070399999968</v>
      </c>
      <c r="S46" s="30">
        <v>346</v>
      </c>
      <c r="T46" s="30">
        <v>0</v>
      </c>
      <c r="U46" s="30">
        <v>0</v>
      </c>
      <c r="W46" s="11">
        <f t="shared" si="5"/>
        <v>4</v>
      </c>
      <c r="X46" s="11">
        <f t="shared" si="5"/>
        <v>0</v>
      </c>
      <c r="Y46" s="11">
        <f t="shared" si="5"/>
        <v>0</v>
      </c>
      <c r="AC46" s="16">
        <v>854722.78499999992</v>
      </c>
    </row>
    <row r="47" spans="1:29" x14ac:dyDescent="0.2">
      <c r="A47" s="9" t="s">
        <v>43</v>
      </c>
      <c r="B47" s="10">
        <v>2420</v>
      </c>
      <c r="C47" s="9">
        <v>503</v>
      </c>
      <c r="D47" s="9">
        <v>0</v>
      </c>
      <c r="E47" s="9">
        <v>0</v>
      </c>
      <c r="F47" s="9">
        <f t="shared" si="0"/>
        <v>503</v>
      </c>
      <c r="G47" s="9">
        <v>0</v>
      </c>
      <c r="H47" s="9">
        <v>0</v>
      </c>
      <c r="I47" s="9">
        <v>0</v>
      </c>
      <c r="J47" s="9">
        <f t="shared" si="1"/>
        <v>503</v>
      </c>
      <c r="K47" s="9">
        <f t="shared" si="1"/>
        <v>0</v>
      </c>
      <c r="L47" s="9">
        <f t="shared" si="1"/>
        <v>0</v>
      </c>
      <c r="M47" s="31">
        <f t="shared" si="2"/>
        <v>503</v>
      </c>
      <c r="N47" s="16">
        <f t="shared" si="3"/>
        <v>1284169.9151000001</v>
      </c>
      <c r="P47" s="11">
        <v>1135560.2715</v>
      </c>
      <c r="Q47" s="11">
        <f t="shared" si="4"/>
        <v>148609.64360000007</v>
      </c>
      <c r="S47" s="30">
        <v>465</v>
      </c>
      <c r="T47" s="30">
        <v>0</v>
      </c>
      <c r="U47" s="30">
        <v>0</v>
      </c>
      <c r="W47" s="11">
        <f t="shared" si="5"/>
        <v>38</v>
      </c>
      <c r="X47" s="11">
        <f t="shared" si="5"/>
        <v>0</v>
      </c>
      <c r="Y47" s="11">
        <f t="shared" si="5"/>
        <v>0</v>
      </c>
      <c r="AC47" s="16">
        <v>1228358.7452999998</v>
      </c>
    </row>
    <row r="48" spans="1:29" x14ac:dyDescent="0.2">
      <c r="A48" s="9" t="s">
        <v>45</v>
      </c>
      <c r="B48" s="10">
        <v>2003</v>
      </c>
      <c r="C48" s="9">
        <v>213</v>
      </c>
      <c r="D48" s="9">
        <v>0</v>
      </c>
      <c r="E48" s="9">
        <v>0</v>
      </c>
      <c r="F48" s="9">
        <f t="shared" si="0"/>
        <v>213</v>
      </c>
      <c r="G48" s="9">
        <v>0</v>
      </c>
      <c r="H48" s="9">
        <v>0</v>
      </c>
      <c r="I48" s="9">
        <v>0</v>
      </c>
      <c r="J48" s="9">
        <f t="shared" si="1"/>
        <v>213</v>
      </c>
      <c r="K48" s="9">
        <f t="shared" si="1"/>
        <v>0</v>
      </c>
      <c r="L48" s="9">
        <f t="shared" si="1"/>
        <v>0</v>
      </c>
      <c r="M48" s="31">
        <f t="shared" si="2"/>
        <v>213</v>
      </c>
      <c r="N48" s="16">
        <f t="shared" si="3"/>
        <v>543793.62210000004</v>
      </c>
      <c r="P48" s="11">
        <v>507949.54080000008</v>
      </c>
      <c r="Q48" s="11">
        <f t="shared" si="4"/>
        <v>35844.081299999962</v>
      </c>
      <c r="S48" s="30">
        <v>208</v>
      </c>
      <c r="T48" s="30">
        <v>0</v>
      </c>
      <c r="U48" s="30">
        <v>0</v>
      </c>
      <c r="W48" s="11">
        <f t="shared" si="5"/>
        <v>5</v>
      </c>
      <c r="X48" s="11">
        <f t="shared" si="5"/>
        <v>0</v>
      </c>
      <c r="Y48" s="11">
        <f t="shared" si="5"/>
        <v>0</v>
      </c>
      <c r="AC48" s="16">
        <v>520159.86629999994</v>
      </c>
    </row>
    <row r="49" spans="1:29" x14ac:dyDescent="0.2">
      <c r="A49" s="9" t="s">
        <v>46</v>
      </c>
      <c r="B49" s="10">
        <v>2423</v>
      </c>
      <c r="C49" s="9">
        <v>333</v>
      </c>
      <c r="D49" s="9">
        <v>0</v>
      </c>
      <c r="E49" s="9">
        <v>0</v>
      </c>
      <c r="F49" s="9">
        <f t="shared" si="0"/>
        <v>333</v>
      </c>
      <c r="G49" s="9">
        <v>0</v>
      </c>
      <c r="H49" s="9">
        <v>0</v>
      </c>
      <c r="I49" s="9">
        <v>0</v>
      </c>
      <c r="J49" s="9">
        <f t="shared" si="1"/>
        <v>333</v>
      </c>
      <c r="K49" s="9">
        <f t="shared" si="1"/>
        <v>0</v>
      </c>
      <c r="L49" s="9">
        <f t="shared" si="1"/>
        <v>0</v>
      </c>
      <c r="M49" s="31">
        <f t="shared" si="2"/>
        <v>333</v>
      </c>
      <c r="N49" s="16">
        <f t="shared" si="3"/>
        <v>850156.22610000009</v>
      </c>
      <c r="P49" s="11">
        <v>874259.30580000009</v>
      </c>
      <c r="Q49" s="11">
        <f t="shared" si="4"/>
        <v>-24103.079700000002</v>
      </c>
      <c r="S49" s="30">
        <v>358</v>
      </c>
      <c r="T49" s="30">
        <v>0</v>
      </c>
      <c r="U49" s="30">
        <v>0</v>
      </c>
      <c r="W49" s="11">
        <f t="shared" si="5"/>
        <v>-25</v>
      </c>
      <c r="X49" s="11">
        <f t="shared" si="5"/>
        <v>0</v>
      </c>
      <c r="Y49" s="11">
        <f t="shared" si="5"/>
        <v>0</v>
      </c>
      <c r="AC49" s="16">
        <v>813207.67829999991</v>
      </c>
    </row>
    <row r="50" spans="1:29" x14ac:dyDescent="0.2">
      <c r="A50" s="9" t="s">
        <v>47</v>
      </c>
      <c r="B50" s="10">
        <v>2424</v>
      </c>
      <c r="C50" s="9">
        <v>270</v>
      </c>
      <c r="D50" s="9">
        <v>0</v>
      </c>
      <c r="E50" s="9">
        <v>0</v>
      </c>
      <c r="F50" s="9">
        <f t="shared" si="0"/>
        <v>270</v>
      </c>
      <c r="G50" s="9">
        <v>0</v>
      </c>
      <c r="H50" s="9">
        <v>0</v>
      </c>
      <c r="I50" s="9">
        <v>0</v>
      </c>
      <c r="J50" s="9">
        <f t="shared" si="1"/>
        <v>270</v>
      </c>
      <c r="K50" s="9">
        <f t="shared" si="1"/>
        <v>0</v>
      </c>
      <c r="L50" s="9">
        <f t="shared" si="1"/>
        <v>0</v>
      </c>
      <c r="M50" s="31">
        <f t="shared" si="2"/>
        <v>270</v>
      </c>
      <c r="N50" s="16">
        <f t="shared" si="3"/>
        <v>689315.85900000005</v>
      </c>
      <c r="P50" s="11">
        <v>652031.38170000003</v>
      </c>
      <c r="Q50" s="11">
        <f t="shared" si="4"/>
        <v>37284.477300000028</v>
      </c>
      <c r="S50" s="30">
        <v>267</v>
      </c>
      <c r="T50" s="30">
        <v>0</v>
      </c>
      <c r="U50" s="30">
        <v>0</v>
      </c>
      <c r="W50" s="11">
        <f t="shared" si="5"/>
        <v>3</v>
      </c>
      <c r="X50" s="11">
        <f t="shared" si="5"/>
        <v>0</v>
      </c>
      <c r="Y50" s="11">
        <f t="shared" si="5"/>
        <v>0</v>
      </c>
      <c r="AC50" s="16">
        <v>659357.57699999993</v>
      </c>
    </row>
    <row r="51" spans="1:29" x14ac:dyDescent="0.2">
      <c r="A51" s="9" t="s">
        <v>48</v>
      </c>
      <c r="B51" s="10">
        <v>2439</v>
      </c>
      <c r="C51" s="9">
        <v>256</v>
      </c>
      <c r="D51" s="9">
        <v>0</v>
      </c>
      <c r="E51" s="9">
        <v>0</v>
      </c>
      <c r="F51" s="9">
        <f t="shared" si="0"/>
        <v>256</v>
      </c>
      <c r="G51" s="9">
        <v>0</v>
      </c>
      <c r="H51" s="9">
        <v>0</v>
      </c>
      <c r="I51" s="9">
        <v>0</v>
      </c>
      <c r="J51" s="9">
        <f t="shared" si="1"/>
        <v>256</v>
      </c>
      <c r="K51" s="9">
        <f t="shared" si="1"/>
        <v>0</v>
      </c>
      <c r="L51" s="9">
        <f t="shared" si="1"/>
        <v>0</v>
      </c>
      <c r="M51" s="31">
        <f t="shared" si="2"/>
        <v>256</v>
      </c>
      <c r="N51" s="16">
        <f t="shared" si="3"/>
        <v>653573.55520000006</v>
      </c>
      <c r="P51" s="11">
        <v>583653.55890000006</v>
      </c>
      <c r="Q51" s="11">
        <f t="shared" si="4"/>
        <v>69919.996299999999</v>
      </c>
      <c r="S51" s="30">
        <v>239</v>
      </c>
      <c r="T51" s="30">
        <v>0</v>
      </c>
      <c r="U51" s="30">
        <v>0</v>
      </c>
      <c r="W51" s="11">
        <f t="shared" si="5"/>
        <v>17</v>
      </c>
      <c r="X51" s="11">
        <f t="shared" si="5"/>
        <v>0</v>
      </c>
      <c r="Y51" s="11">
        <f t="shared" si="5"/>
        <v>0</v>
      </c>
      <c r="AC51" s="16">
        <v>625168.66559999995</v>
      </c>
    </row>
    <row r="52" spans="1:29" x14ac:dyDescent="0.2">
      <c r="A52" s="9" t="s">
        <v>49</v>
      </c>
      <c r="B52" s="10">
        <v>2440</v>
      </c>
      <c r="C52" s="9">
        <v>326</v>
      </c>
      <c r="D52" s="9">
        <v>0</v>
      </c>
      <c r="E52" s="9">
        <v>0</v>
      </c>
      <c r="F52" s="9">
        <f t="shared" si="0"/>
        <v>326</v>
      </c>
      <c r="G52" s="9">
        <v>0</v>
      </c>
      <c r="H52" s="9">
        <v>0</v>
      </c>
      <c r="I52" s="9">
        <v>0</v>
      </c>
      <c r="J52" s="9">
        <f t="shared" si="1"/>
        <v>326</v>
      </c>
      <c r="K52" s="9">
        <f t="shared" si="1"/>
        <v>0</v>
      </c>
      <c r="L52" s="9">
        <f t="shared" si="1"/>
        <v>0</v>
      </c>
      <c r="M52" s="31">
        <f t="shared" si="2"/>
        <v>326</v>
      </c>
      <c r="N52" s="16">
        <f t="shared" si="3"/>
        <v>832285.07420000003</v>
      </c>
      <c r="P52" s="11">
        <v>710640.94410000008</v>
      </c>
      <c r="Q52" s="11">
        <f t="shared" si="4"/>
        <v>121644.13009999995</v>
      </c>
      <c r="S52" s="30">
        <v>291</v>
      </c>
      <c r="T52" s="30">
        <v>0</v>
      </c>
      <c r="U52" s="30">
        <v>0</v>
      </c>
      <c r="W52" s="11">
        <f t="shared" si="5"/>
        <v>35</v>
      </c>
      <c r="X52" s="11">
        <f t="shared" si="5"/>
        <v>0</v>
      </c>
      <c r="Y52" s="11">
        <f t="shared" si="5"/>
        <v>0</v>
      </c>
      <c r="AC52" s="16">
        <v>796113.22259999998</v>
      </c>
    </row>
    <row r="53" spans="1:29" x14ac:dyDescent="0.2">
      <c r="A53" s="9" t="s">
        <v>102</v>
      </c>
      <c r="B53" s="10">
        <v>2462</v>
      </c>
      <c r="C53" s="9">
        <v>238</v>
      </c>
      <c r="D53" s="9">
        <v>0</v>
      </c>
      <c r="E53" s="9">
        <v>0</v>
      </c>
      <c r="F53" s="9">
        <f t="shared" si="0"/>
        <v>238</v>
      </c>
      <c r="G53" s="9">
        <v>0</v>
      </c>
      <c r="H53" s="9">
        <v>0</v>
      </c>
      <c r="I53" s="9">
        <v>0</v>
      </c>
      <c r="J53" s="9">
        <f t="shared" si="1"/>
        <v>238</v>
      </c>
      <c r="K53" s="9">
        <f t="shared" si="1"/>
        <v>0</v>
      </c>
      <c r="L53" s="9">
        <f t="shared" si="1"/>
        <v>0</v>
      </c>
      <c r="M53" s="31">
        <f t="shared" si="2"/>
        <v>238</v>
      </c>
      <c r="N53" s="16">
        <f t="shared" si="3"/>
        <v>607619.16460000002</v>
      </c>
      <c r="P53" s="11">
        <v>537254.32200000004</v>
      </c>
      <c r="Q53" s="11">
        <f t="shared" si="4"/>
        <v>70364.842599999974</v>
      </c>
      <c r="S53" s="30">
        <v>220</v>
      </c>
      <c r="T53" s="30">
        <v>0</v>
      </c>
      <c r="U53" s="30">
        <v>0</v>
      </c>
      <c r="W53" s="11">
        <f t="shared" si="5"/>
        <v>18</v>
      </c>
      <c r="X53" s="11">
        <f t="shared" si="5"/>
        <v>0</v>
      </c>
      <c r="Y53" s="11">
        <f t="shared" si="5"/>
        <v>0</v>
      </c>
      <c r="AC53" s="16">
        <v>581211.49379999994</v>
      </c>
    </row>
    <row r="54" spans="1:29" x14ac:dyDescent="0.2">
      <c r="A54" s="9" t="s">
        <v>50</v>
      </c>
      <c r="B54" s="10">
        <v>2463</v>
      </c>
      <c r="C54" s="9">
        <v>336</v>
      </c>
      <c r="D54" s="9">
        <v>0</v>
      </c>
      <c r="E54" s="9">
        <v>0</v>
      </c>
      <c r="F54" s="9">
        <f t="shared" si="0"/>
        <v>336</v>
      </c>
      <c r="G54" s="9">
        <v>0</v>
      </c>
      <c r="H54" s="9">
        <v>0</v>
      </c>
      <c r="I54" s="9">
        <v>0</v>
      </c>
      <c r="J54" s="9">
        <f t="shared" si="1"/>
        <v>336</v>
      </c>
      <c r="K54" s="9">
        <f t="shared" si="1"/>
        <v>0</v>
      </c>
      <c r="L54" s="9">
        <f t="shared" si="1"/>
        <v>0</v>
      </c>
      <c r="M54" s="31">
        <f t="shared" si="2"/>
        <v>336</v>
      </c>
      <c r="N54" s="16">
        <f t="shared" si="3"/>
        <v>857815.29120000009</v>
      </c>
      <c r="P54" s="11">
        <v>761924.31120000011</v>
      </c>
      <c r="Q54" s="11">
        <f t="shared" si="4"/>
        <v>95890.979999999981</v>
      </c>
      <c r="S54" s="30">
        <v>312</v>
      </c>
      <c r="T54" s="30">
        <v>0</v>
      </c>
      <c r="U54" s="30">
        <v>0</v>
      </c>
      <c r="W54" s="11">
        <f t="shared" si="5"/>
        <v>24</v>
      </c>
      <c r="X54" s="11">
        <f t="shared" si="5"/>
        <v>0</v>
      </c>
      <c r="Y54" s="11">
        <f t="shared" si="5"/>
        <v>0</v>
      </c>
      <c r="AC54" s="16">
        <v>820533.87359999993</v>
      </c>
    </row>
    <row r="55" spans="1:29" x14ac:dyDescent="0.2">
      <c r="A55" s="9" t="s">
        <v>51</v>
      </c>
      <c r="B55" s="10">
        <v>2505</v>
      </c>
      <c r="C55" s="9">
        <v>523</v>
      </c>
      <c r="D55" s="9">
        <v>0</v>
      </c>
      <c r="E55" s="9">
        <v>0</v>
      </c>
      <c r="F55" s="9">
        <f t="shared" si="0"/>
        <v>523</v>
      </c>
      <c r="G55" s="9">
        <v>0</v>
      </c>
      <c r="H55" s="9">
        <v>0</v>
      </c>
      <c r="I55" s="9">
        <v>0</v>
      </c>
      <c r="J55" s="9">
        <f t="shared" si="1"/>
        <v>523</v>
      </c>
      <c r="K55" s="9">
        <f t="shared" si="1"/>
        <v>0</v>
      </c>
      <c r="L55" s="9">
        <f t="shared" si="1"/>
        <v>0</v>
      </c>
      <c r="M55" s="31">
        <f t="shared" si="2"/>
        <v>523</v>
      </c>
      <c r="N55" s="16">
        <f t="shared" si="3"/>
        <v>1335230.3491000002</v>
      </c>
      <c r="P55" s="11">
        <v>1106255.4903000002</v>
      </c>
      <c r="Q55" s="11">
        <f t="shared" si="4"/>
        <v>228974.85880000005</v>
      </c>
      <c r="S55" s="30">
        <v>453</v>
      </c>
      <c r="T55" s="30">
        <v>0</v>
      </c>
      <c r="U55" s="30">
        <v>0</v>
      </c>
      <c r="W55" s="11">
        <f t="shared" si="5"/>
        <v>70</v>
      </c>
      <c r="X55" s="11">
        <f t="shared" si="5"/>
        <v>0</v>
      </c>
      <c r="Y55" s="11">
        <f t="shared" si="5"/>
        <v>0</v>
      </c>
      <c r="AC55" s="16">
        <v>1277200.0473</v>
      </c>
    </row>
    <row r="56" spans="1:29" x14ac:dyDescent="0.2">
      <c r="A56" s="9" t="s">
        <v>52</v>
      </c>
      <c r="B56" s="10">
        <v>2000</v>
      </c>
      <c r="C56" s="9">
        <v>326</v>
      </c>
      <c r="D56" s="9">
        <v>0</v>
      </c>
      <c r="E56" s="9">
        <v>0</v>
      </c>
      <c r="F56" s="9">
        <f t="shared" si="0"/>
        <v>326</v>
      </c>
      <c r="G56" s="808">
        <v>28</v>
      </c>
      <c r="H56" s="9">
        <v>0</v>
      </c>
      <c r="I56" s="9">
        <v>0</v>
      </c>
      <c r="J56" s="9">
        <f t="shared" si="1"/>
        <v>298</v>
      </c>
      <c r="K56" s="9">
        <f t="shared" si="1"/>
        <v>0</v>
      </c>
      <c r="L56" s="9">
        <f t="shared" si="1"/>
        <v>0</v>
      </c>
      <c r="M56" s="31">
        <f t="shared" si="2"/>
        <v>298</v>
      </c>
      <c r="N56" s="16">
        <f t="shared" si="3"/>
        <v>760800.46660000004</v>
      </c>
      <c r="P56" s="11">
        <v>683778.22800000012</v>
      </c>
      <c r="Q56" s="11">
        <f t="shared" si="4"/>
        <v>77022.238599999924</v>
      </c>
      <c r="S56" s="30">
        <v>280</v>
      </c>
      <c r="T56" s="30">
        <v>0</v>
      </c>
      <c r="U56" s="30">
        <v>0</v>
      </c>
      <c r="W56" s="11">
        <f t="shared" si="5"/>
        <v>18</v>
      </c>
      <c r="X56" s="11">
        <f t="shared" si="5"/>
        <v>0</v>
      </c>
      <c r="Y56" s="11">
        <f t="shared" si="5"/>
        <v>0</v>
      </c>
      <c r="AC56" s="16">
        <v>727735.3997999999</v>
      </c>
    </row>
    <row r="57" spans="1:29" x14ac:dyDescent="0.2">
      <c r="A57" s="9" t="s">
        <v>53</v>
      </c>
      <c r="B57" s="10">
        <v>2458</v>
      </c>
      <c r="C57" s="9">
        <v>270</v>
      </c>
      <c r="D57" s="9">
        <v>0</v>
      </c>
      <c r="E57" s="9">
        <v>0</v>
      </c>
      <c r="F57" s="9">
        <f t="shared" si="0"/>
        <v>270</v>
      </c>
      <c r="G57" s="9">
        <v>0</v>
      </c>
      <c r="H57" s="9">
        <v>0</v>
      </c>
      <c r="I57" s="9">
        <v>0</v>
      </c>
      <c r="J57" s="9">
        <f t="shared" si="1"/>
        <v>270</v>
      </c>
      <c r="K57" s="9">
        <f t="shared" si="1"/>
        <v>0</v>
      </c>
      <c r="L57" s="9">
        <f t="shared" si="1"/>
        <v>0</v>
      </c>
      <c r="M57" s="31">
        <f t="shared" si="2"/>
        <v>270</v>
      </c>
      <c r="N57" s="16">
        <f t="shared" si="3"/>
        <v>689315.85900000005</v>
      </c>
      <c r="P57" s="11">
        <v>659357.57700000005</v>
      </c>
      <c r="Q57" s="11">
        <f t="shared" si="4"/>
        <v>29958.282000000007</v>
      </c>
      <c r="S57" s="30">
        <v>270</v>
      </c>
      <c r="T57" s="30">
        <v>0</v>
      </c>
      <c r="U57" s="30">
        <v>0</v>
      </c>
      <c r="W57" s="11">
        <f t="shared" si="5"/>
        <v>0</v>
      </c>
      <c r="X57" s="11">
        <f t="shared" si="5"/>
        <v>0</v>
      </c>
      <c r="Y57" s="11">
        <f t="shared" si="5"/>
        <v>0</v>
      </c>
      <c r="AC57" s="16">
        <v>659357.57699999993</v>
      </c>
    </row>
    <row r="58" spans="1:29" x14ac:dyDescent="0.2">
      <c r="A58" s="9" t="s">
        <v>54</v>
      </c>
      <c r="B58" s="10">
        <v>2001</v>
      </c>
      <c r="C58" s="9">
        <v>353</v>
      </c>
      <c r="D58" s="9">
        <v>0</v>
      </c>
      <c r="E58" s="9">
        <v>0</v>
      </c>
      <c r="F58" s="9">
        <f t="shared" si="0"/>
        <v>353</v>
      </c>
      <c r="G58" s="9">
        <v>0</v>
      </c>
      <c r="H58" s="9">
        <v>0</v>
      </c>
      <c r="I58" s="9">
        <v>0</v>
      </c>
      <c r="J58" s="9">
        <f t="shared" si="1"/>
        <v>353</v>
      </c>
      <c r="K58" s="9">
        <f t="shared" si="1"/>
        <v>0</v>
      </c>
      <c r="L58" s="9">
        <f t="shared" si="1"/>
        <v>0</v>
      </c>
      <c r="M58" s="31">
        <f t="shared" si="2"/>
        <v>353</v>
      </c>
      <c r="N58" s="16">
        <f t="shared" si="3"/>
        <v>901216.6601000001</v>
      </c>
      <c r="P58" s="11">
        <v>808323.54810000013</v>
      </c>
      <c r="Q58" s="11">
        <f t="shared" si="4"/>
        <v>92893.111999999965</v>
      </c>
      <c r="S58" s="30">
        <v>331</v>
      </c>
      <c r="T58" s="30">
        <v>0</v>
      </c>
      <c r="U58" s="30">
        <v>0</v>
      </c>
      <c r="W58" s="11">
        <f t="shared" si="5"/>
        <v>22</v>
      </c>
      <c r="X58" s="11">
        <f t="shared" si="5"/>
        <v>0</v>
      </c>
      <c r="Y58" s="11">
        <f t="shared" si="5"/>
        <v>0</v>
      </c>
      <c r="AC58" s="16">
        <v>862048.98029999994</v>
      </c>
    </row>
    <row r="59" spans="1:29" x14ac:dyDescent="0.2">
      <c r="A59" s="9" t="s">
        <v>55</v>
      </c>
      <c r="B59" s="10">
        <v>2429</v>
      </c>
      <c r="C59" s="9">
        <v>150</v>
      </c>
      <c r="D59" s="9">
        <v>0</v>
      </c>
      <c r="E59" s="9">
        <v>0</v>
      </c>
      <c r="F59" s="9">
        <f t="shared" si="0"/>
        <v>150</v>
      </c>
      <c r="G59" s="9">
        <v>0</v>
      </c>
      <c r="H59" s="9">
        <v>0</v>
      </c>
      <c r="I59" s="9">
        <v>0</v>
      </c>
      <c r="J59" s="9">
        <f t="shared" si="1"/>
        <v>150</v>
      </c>
      <c r="K59" s="9">
        <f t="shared" si="1"/>
        <v>0</v>
      </c>
      <c r="L59" s="9">
        <f t="shared" si="1"/>
        <v>0</v>
      </c>
      <c r="M59" s="31">
        <f t="shared" si="2"/>
        <v>150</v>
      </c>
      <c r="N59" s="16">
        <f t="shared" si="3"/>
        <v>382953.25500000006</v>
      </c>
      <c r="P59" s="11">
        <v>378520.09050000005</v>
      </c>
      <c r="Q59" s="11">
        <f t="shared" si="4"/>
        <v>4433.1645000000135</v>
      </c>
      <c r="S59" s="30">
        <v>155</v>
      </c>
      <c r="T59" s="30">
        <v>0</v>
      </c>
      <c r="U59" s="30">
        <v>0</v>
      </c>
      <c r="W59" s="11">
        <f t="shared" si="5"/>
        <v>-5</v>
      </c>
      <c r="X59" s="11">
        <f t="shared" si="5"/>
        <v>0</v>
      </c>
      <c r="Y59" s="11">
        <f t="shared" si="5"/>
        <v>0</v>
      </c>
      <c r="AC59" s="16">
        <v>366309.76499999996</v>
      </c>
    </row>
    <row r="60" spans="1:29" x14ac:dyDescent="0.2">
      <c r="A60" s="9" t="s">
        <v>56</v>
      </c>
      <c r="B60" s="10">
        <v>2444</v>
      </c>
      <c r="C60" s="9">
        <v>208</v>
      </c>
      <c r="D60" s="9">
        <v>0</v>
      </c>
      <c r="E60" s="9">
        <v>0</v>
      </c>
      <c r="F60" s="9">
        <f t="shared" si="0"/>
        <v>208</v>
      </c>
      <c r="G60" s="9">
        <v>0</v>
      </c>
      <c r="H60" s="9">
        <v>0</v>
      </c>
      <c r="I60" s="9">
        <v>0</v>
      </c>
      <c r="J60" s="9">
        <f t="shared" si="1"/>
        <v>208</v>
      </c>
      <c r="K60" s="9">
        <f t="shared" si="1"/>
        <v>0</v>
      </c>
      <c r="L60" s="9">
        <f t="shared" si="1"/>
        <v>0</v>
      </c>
      <c r="M60" s="31">
        <f t="shared" si="2"/>
        <v>208</v>
      </c>
      <c r="N60" s="16">
        <f t="shared" si="3"/>
        <v>531028.51360000006</v>
      </c>
      <c r="P60" s="11">
        <v>510391.60590000008</v>
      </c>
      <c r="Q60" s="11">
        <f t="shared" si="4"/>
        <v>20636.907699999982</v>
      </c>
      <c r="S60" s="30">
        <v>209</v>
      </c>
      <c r="T60" s="30">
        <v>0</v>
      </c>
      <c r="U60" s="30">
        <v>0</v>
      </c>
      <c r="W60" s="11">
        <f t="shared" si="5"/>
        <v>-1</v>
      </c>
      <c r="X60" s="11">
        <f t="shared" si="5"/>
        <v>0</v>
      </c>
      <c r="Y60" s="11">
        <f t="shared" si="5"/>
        <v>0</v>
      </c>
      <c r="AC60" s="16">
        <v>507949.54079999996</v>
      </c>
    </row>
    <row r="61" spans="1:29" x14ac:dyDescent="0.2">
      <c r="A61" s="9" t="s">
        <v>57</v>
      </c>
      <c r="B61" s="10">
        <v>5209</v>
      </c>
      <c r="C61" s="9">
        <v>274</v>
      </c>
      <c r="D61" s="9">
        <v>0</v>
      </c>
      <c r="E61" s="9">
        <v>0</v>
      </c>
      <c r="F61" s="9">
        <f t="shared" si="0"/>
        <v>274</v>
      </c>
      <c r="G61" s="9">
        <v>0</v>
      </c>
      <c r="H61" s="9">
        <v>0</v>
      </c>
      <c r="I61" s="9">
        <v>0</v>
      </c>
      <c r="J61" s="9">
        <f t="shared" si="1"/>
        <v>274</v>
      </c>
      <c r="K61" s="9">
        <f t="shared" si="1"/>
        <v>0</v>
      </c>
      <c r="L61" s="9">
        <f t="shared" si="1"/>
        <v>0</v>
      </c>
      <c r="M61" s="31">
        <f t="shared" si="2"/>
        <v>274</v>
      </c>
      <c r="N61" s="16">
        <f t="shared" si="3"/>
        <v>699527.9458000001</v>
      </c>
      <c r="P61" s="11">
        <v>659357.57700000005</v>
      </c>
      <c r="Q61" s="11">
        <f t="shared" si="4"/>
        <v>40170.368800000055</v>
      </c>
      <c r="S61" s="30">
        <v>270</v>
      </c>
      <c r="T61" s="30">
        <v>0</v>
      </c>
      <c r="U61" s="30">
        <v>0</v>
      </c>
      <c r="W61" s="11">
        <f t="shared" si="5"/>
        <v>4</v>
      </c>
      <c r="X61" s="11">
        <f t="shared" si="5"/>
        <v>0</v>
      </c>
      <c r="Y61" s="11">
        <f t="shared" si="5"/>
        <v>0</v>
      </c>
      <c r="AC61" s="16">
        <v>669125.83739999996</v>
      </c>
    </row>
    <row r="62" spans="1:29" x14ac:dyDescent="0.2">
      <c r="A62" s="9" t="s">
        <v>58</v>
      </c>
      <c r="B62" s="10">
        <v>2469</v>
      </c>
      <c r="C62" s="9">
        <v>411</v>
      </c>
      <c r="D62" s="9">
        <v>0</v>
      </c>
      <c r="E62" s="9">
        <v>0</v>
      </c>
      <c r="F62" s="9">
        <f t="shared" si="0"/>
        <v>411</v>
      </c>
      <c r="G62" s="9">
        <v>0</v>
      </c>
      <c r="H62" s="9">
        <v>0</v>
      </c>
      <c r="I62" s="9">
        <v>0</v>
      </c>
      <c r="J62" s="9">
        <f t="shared" si="1"/>
        <v>411</v>
      </c>
      <c r="K62" s="9">
        <f t="shared" si="1"/>
        <v>0</v>
      </c>
      <c r="L62" s="9">
        <f t="shared" si="1"/>
        <v>0</v>
      </c>
      <c r="M62" s="31">
        <f t="shared" si="2"/>
        <v>411</v>
      </c>
      <c r="N62" s="16">
        <f t="shared" si="3"/>
        <v>1049291.9187</v>
      </c>
      <c r="P62" s="11">
        <v>1006130.8212000001</v>
      </c>
      <c r="Q62" s="11">
        <f t="shared" si="4"/>
        <v>43161.097499999916</v>
      </c>
      <c r="S62" s="30">
        <v>412</v>
      </c>
      <c r="T62" s="30">
        <v>0</v>
      </c>
      <c r="U62" s="30">
        <v>0</v>
      </c>
      <c r="W62" s="11">
        <f t="shared" si="5"/>
        <v>-1</v>
      </c>
      <c r="X62" s="11">
        <f t="shared" si="5"/>
        <v>0</v>
      </c>
      <c r="Y62" s="11">
        <f t="shared" si="5"/>
        <v>0</v>
      </c>
      <c r="AC62" s="16">
        <v>1003688.7560999999</v>
      </c>
    </row>
    <row r="63" spans="1:29" x14ac:dyDescent="0.2">
      <c r="A63" s="9" t="s">
        <v>455</v>
      </c>
      <c r="B63" s="10">
        <v>2430</v>
      </c>
      <c r="C63" s="9">
        <v>120</v>
      </c>
      <c r="D63" s="9">
        <v>0</v>
      </c>
      <c r="E63" s="9">
        <v>0</v>
      </c>
      <c r="F63" s="9">
        <f t="shared" si="0"/>
        <v>120</v>
      </c>
      <c r="G63" s="9">
        <v>0</v>
      </c>
      <c r="H63" s="9">
        <v>0</v>
      </c>
      <c r="I63" s="9">
        <v>0</v>
      </c>
      <c r="J63" s="9">
        <f t="shared" si="1"/>
        <v>120</v>
      </c>
      <c r="K63" s="9">
        <f t="shared" si="1"/>
        <v>0</v>
      </c>
      <c r="L63" s="9">
        <f t="shared" si="1"/>
        <v>0</v>
      </c>
      <c r="M63" s="31">
        <f t="shared" si="2"/>
        <v>120</v>
      </c>
      <c r="N63" s="16">
        <f t="shared" si="3"/>
        <v>306362.60400000005</v>
      </c>
      <c r="P63" s="11">
        <v>275953.35630000004</v>
      </c>
      <c r="Q63" s="11">
        <f t="shared" si="4"/>
        <v>30409.247700000007</v>
      </c>
      <c r="S63" s="30">
        <v>113</v>
      </c>
      <c r="T63" s="30">
        <v>0</v>
      </c>
      <c r="U63" s="30">
        <v>0</v>
      </c>
      <c r="W63" s="11">
        <f t="shared" si="5"/>
        <v>7</v>
      </c>
      <c r="X63" s="11">
        <f t="shared" si="5"/>
        <v>0</v>
      </c>
      <c r="Y63" s="11">
        <f t="shared" si="5"/>
        <v>0</v>
      </c>
      <c r="AC63" s="16">
        <v>293047.81199999998</v>
      </c>
    </row>
    <row r="64" spans="1:29" x14ac:dyDescent="0.2">
      <c r="A64" s="9" t="s">
        <v>59</v>
      </c>
      <c r="B64" s="10">
        <v>2466</v>
      </c>
      <c r="C64" s="9">
        <v>205</v>
      </c>
      <c r="D64" s="9">
        <v>0</v>
      </c>
      <c r="E64" s="9">
        <v>0</v>
      </c>
      <c r="F64" s="9">
        <f t="shared" si="0"/>
        <v>205</v>
      </c>
      <c r="G64" s="808">
        <v>8</v>
      </c>
      <c r="H64" s="9">
        <v>0</v>
      </c>
      <c r="I64" s="9">
        <v>0</v>
      </c>
      <c r="J64" s="9">
        <f t="shared" si="1"/>
        <v>197</v>
      </c>
      <c r="K64" s="9">
        <f t="shared" si="1"/>
        <v>0</v>
      </c>
      <c r="L64" s="9">
        <f t="shared" si="1"/>
        <v>0</v>
      </c>
      <c r="M64" s="31">
        <f t="shared" si="2"/>
        <v>197</v>
      </c>
      <c r="N64" s="16">
        <f t="shared" si="3"/>
        <v>502945.27490000002</v>
      </c>
      <c r="P64" s="11">
        <v>400498.67640000005</v>
      </c>
      <c r="Q64" s="11">
        <f t="shared" si="4"/>
        <v>102446.59849999996</v>
      </c>
      <c r="S64" s="30">
        <v>164</v>
      </c>
      <c r="T64" s="30">
        <v>0</v>
      </c>
      <c r="U64" s="30">
        <v>0</v>
      </c>
      <c r="W64" s="11">
        <f t="shared" si="5"/>
        <v>33</v>
      </c>
      <c r="X64" s="11">
        <f t="shared" si="5"/>
        <v>0</v>
      </c>
      <c r="Y64" s="11">
        <f t="shared" si="5"/>
        <v>0</v>
      </c>
      <c r="AC64" s="16">
        <v>481086.82469999994</v>
      </c>
    </row>
    <row r="65" spans="1:29" x14ac:dyDescent="0.2">
      <c r="A65" s="9" t="s">
        <v>60</v>
      </c>
      <c r="B65" s="10">
        <v>3543</v>
      </c>
      <c r="C65" s="9">
        <v>301</v>
      </c>
      <c r="D65" s="9">
        <v>0</v>
      </c>
      <c r="E65" s="9">
        <v>0</v>
      </c>
      <c r="F65" s="9">
        <f t="shared" si="0"/>
        <v>301</v>
      </c>
      <c r="G65" s="9">
        <v>0</v>
      </c>
      <c r="H65" s="9">
        <v>0</v>
      </c>
      <c r="I65" s="9">
        <v>0</v>
      </c>
      <c r="J65" s="9">
        <f t="shared" si="1"/>
        <v>301</v>
      </c>
      <c r="K65" s="9">
        <f t="shared" si="1"/>
        <v>0</v>
      </c>
      <c r="L65" s="9">
        <f t="shared" si="1"/>
        <v>0</v>
      </c>
      <c r="M65" s="31">
        <f t="shared" si="2"/>
        <v>301</v>
      </c>
      <c r="N65" s="16">
        <f t="shared" si="3"/>
        <v>768459.53170000005</v>
      </c>
      <c r="P65" s="11">
        <v>715525.07430000009</v>
      </c>
      <c r="Q65" s="11">
        <f t="shared" si="4"/>
        <v>52934.457399999956</v>
      </c>
      <c r="S65" s="30">
        <v>293</v>
      </c>
      <c r="T65" s="30">
        <v>0</v>
      </c>
      <c r="U65" s="30">
        <v>0</v>
      </c>
      <c r="W65" s="11">
        <f t="shared" si="5"/>
        <v>8</v>
      </c>
      <c r="X65" s="11">
        <f t="shared" si="5"/>
        <v>0</v>
      </c>
      <c r="Y65" s="11">
        <f t="shared" si="5"/>
        <v>0</v>
      </c>
      <c r="AC65" s="16">
        <v>735061.59509999992</v>
      </c>
    </row>
    <row r="66" spans="1:29" s="33" customFormat="1" x14ac:dyDescent="0.2">
      <c r="A66" s="805" t="s">
        <v>62</v>
      </c>
      <c r="B66" s="27">
        <v>3531</v>
      </c>
      <c r="C66" s="805">
        <v>352</v>
      </c>
      <c r="D66" s="805">
        <v>0</v>
      </c>
      <c r="E66" s="805">
        <v>0</v>
      </c>
      <c r="F66" s="805">
        <f t="shared" si="0"/>
        <v>352</v>
      </c>
      <c r="G66" s="805">
        <v>0</v>
      </c>
      <c r="H66" s="805">
        <v>0</v>
      </c>
      <c r="I66" s="805">
        <v>0</v>
      </c>
      <c r="J66" s="805">
        <f t="shared" si="1"/>
        <v>352</v>
      </c>
      <c r="K66" s="805">
        <f t="shared" si="1"/>
        <v>0</v>
      </c>
      <c r="L66" s="805">
        <f t="shared" si="1"/>
        <v>0</v>
      </c>
      <c r="M66" s="806">
        <f t="shared" si="2"/>
        <v>352</v>
      </c>
      <c r="N66" s="807">
        <f t="shared" si="3"/>
        <v>898663.63840000005</v>
      </c>
      <c r="O66" s="809"/>
      <c r="P66" s="809">
        <v>854722.78500000003</v>
      </c>
      <c r="Q66" s="809">
        <f t="shared" si="4"/>
        <v>43940.853400000022</v>
      </c>
      <c r="S66" s="33">
        <v>350</v>
      </c>
      <c r="T66" s="33">
        <v>0</v>
      </c>
      <c r="U66" s="33">
        <v>0</v>
      </c>
      <c r="W66" s="809">
        <f t="shared" si="5"/>
        <v>2</v>
      </c>
      <c r="X66" s="809">
        <f t="shared" si="5"/>
        <v>0</v>
      </c>
      <c r="Y66" s="809">
        <f t="shared" si="5"/>
        <v>0</v>
      </c>
      <c r="AC66" s="16">
        <v>859606.91519999993</v>
      </c>
    </row>
    <row r="67" spans="1:29" x14ac:dyDescent="0.2">
      <c r="A67" s="9" t="s">
        <v>103</v>
      </c>
      <c r="B67" s="10">
        <v>3526</v>
      </c>
      <c r="C67" s="9">
        <v>85</v>
      </c>
      <c r="D67" s="9">
        <v>0</v>
      </c>
      <c r="E67" s="9">
        <v>0</v>
      </c>
      <c r="F67" s="9">
        <f t="shared" si="0"/>
        <v>85</v>
      </c>
      <c r="G67" s="9">
        <v>0</v>
      </c>
      <c r="H67" s="9">
        <v>0</v>
      </c>
      <c r="I67" s="9">
        <v>0</v>
      </c>
      <c r="J67" s="9">
        <f t="shared" si="1"/>
        <v>85</v>
      </c>
      <c r="K67" s="9">
        <f t="shared" si="1"/>
        <v>0</v>
      </c>
      <c r="L67" s="9">
        <f t="shared" si="1"/>
        <v>0</v>
      </c>
      <c r="M67" s="31">
        <f t="shared" si="2"/>
        <v>85</v>
      </c>
      <c r="N67" s="16">
        <f t="shared" si="3"/>
        <v>217006.84450000001</v>
      </c>
      <c r="P67" s="11">
        <v>202691.40330000003</v>
      </c>
      <c r="Q67" s="11">
        <f t="shared" si="4"/>
        <v>14315.441199999972</v>
      </c>
      <c r="S67" s="30">
        <v>83</v>
      </c>
      <c r="T67" s="30">
        <v>0</v>
      </c>
      <c r="U67" s="30">
        <v>0</v>
      </c>
      <c r="W67" s="11">
        <f t="shared" si="5"/>
        <v>2</v>
      </c>
      <c r="X67" s="11">
        <f t="shared" si="5"/>
        <v>0</v>
      </c>
      <c r="Y67" s="11">
        <f t="shared" si="5"/>
        <v>0</v>
      </c>
      <c r="AC67" s="16">
        <v>207575.53349999999</v>
      </c>
    </row>
    <row r="68" spans="1:29" x14ac:dyDescent="0.2">
      <c r="A68" s="9" t="s">
        <v>104</v>
      </c>
      <c r="B68" s="10">
        <v>3535</v>
      </c>
      <c r="C68" s="9">
        <v>297</v>
      </c>
      <c r="D68" s="9">
        <v>0</v>
      </c>
      <c r="E68" s="9">
        <v>0</v>
      </c>
      <c r="F68" s="9">
        <f t="shared" si="0"/>
        <v>297</v>
      </c>
      <c r="G68" s="9">
        <v>0</v>
      </c>
      <c r="H68" s="9">
        <v>0</v>
      </c>
      <c r="I68" s="9">
        <v>0</v>
      </c>
      <c r="J68" s="9">
        <f t="shared" si="1"/>
        <v>297</v>
      </c>
      <c r="K68" s="9">
        <f t="shared" si="1"/>
        <v>0</v>
      </c>
      <c r="L68" s="9">
        <f t="shared" si="1"/>
        <v>0</v>
      </c>
      <c r="M68" s="31">
        <f t="shared" si="2"/>
        <v>297</v>
      </c>
      <c r="N68" s="16">
        <f t="shared" si="3"/>
        <v>758247.44490000012</v>
      </c>
      <c r="P68" s="11">
        <v>737503.66020000004</v>
      </c>
      <c r="Q68" s="11">
        <f t="shared" si="4"/>
        <v>20743.784700000077</v>
      </c>
      <c r="S68" s="30">
        <v>302</v>
      </c>
      <c r="T68" s="30">
        <v>0</v>
      </c>
      <c r="U68" s="30">
        <v>0</v>
      </c>
      <c r="W68" s="11">
        <f t="shared" si="5"/>
        <v>-5</v>
      </c>
      <c r="X68" s="11">
        <f t="shared" si="5"/>
        <v>0</v>
      </c>
      <c r="Y68" s="11">
        <f t="shared" si="5"/>
        <v>0</v>
      </c>
      <c r="AC68" s="16">
        <v>725293.33469999989</v>
      </c>
    </row>
    <row r="69" spans="1:29" s="33" customFormat="1" x14ac:dyDescent="0.2">
      <c r="A69" s="810" t="s">
        <v>64</v>
      </c>
      <c r="B69" s="27">
        <v>2008</v>
      </c>
      <c r="C69" s="805">
        <v>228</v>
      </c>
      <c r="D69" s="805">
        <v>0</v>
      </c>
      <c r="E69" s="805">
        <v>0</v>
      </c>
      <c r="F69" s="805">
        <f t="shared" si="0"/>
        <v>228</v>
      </c>
      <c r="G69" s="805">
        <v>0</v>
      </c>
      <c r="H69" s="805">
        <v>0</v>
      </c>
      <c r="I69" s="805">
        <v>0</v>
      </c>
      <c r="J69" s="805">
        <f t="shared" si="1"/>
        <v>228</v>
      </c>
      <c r="K69" s="805">
        <f t="shared" si="1"/>
        <v>0</v>
      </c>
      <c r="L69" s="805">
        <f t="shared" si="1"/>
        <v>0</v>
      </c>
      <c r="M69" s="806">
        <f t="shared" si="2"/>
        <v>228</v>
      </c>
      <c r="N69" s="807">
        <f t="shared" si="3"/>
        <v>582088.94760000007</v>
      </c>
      <c r="O69" s="809"/>
      <c r="P69" s="809">
        <v>539696.38710000005</v>
      </c>
      <c r="Q69" s="809">
        <f t="shared" si="4"/>
        <v>42392.560500000021</v>
      </c>
      <c r="S69" s="33">
        <v>221</v>
      </c>
      <c r="T69" s="33">
        <v>0</v>
      </c>
      <c r="U69" s="33">
        <v>0</v>
      </c>
      <c r="W69" s="809">
        <f t="shared" si="5"/>
        <v>7</v>
      </c>
      <c r="X69" s="809">
        <f t="shared" si="5"/>
        <v>0</v>
      </c>
      <c r="Y69" s="809">
        <f t="shared" si="5"/>
        <v>0</v>
      </c>
      <c r="AC69" s="16">
        <v>556790.84279999998</v>
      </c>
    </row>
    <row r="70" spans="1:29" x14ac:dyDescent="0.2">
      <c r="A70" s="9" t="s">
        <v>105</v>
      </c>
      <c r="B70" s="10">
        <v>3542</v>
      </c>
      <c r="C70" s="9">
        <v>351</v>
      </c>
      <c r="D70" s="9">
        <v>0</v>
      </c>
      <c r="E70" s="9">
        <v>0</v>
      </c>
      <c r="F70" s="9">
        <f t="shared" si="0"/>
        <v>351</v>
      </c>
      <c r="G70" s="9">
        <v>0</v>
      </c>
      <c r="H70" s="9">
        <v>0</v>
      </c>
      <c r="I70" s="9">
        <v>0</v>
      </c>
      <c r="J70" s="9">
        <f t="shared" si="1"/>
        <v>351</v>
      </c>
      <c r="K70" s="9">
        <f t="shared" si="1"/>
        <v>0</v>
      </c>
      <c r="L70" s="9">
        <f t="shared" si="1"/>
        <v>0</v>
      </c>
      <c r="M70" s="31">
        <f t="shared" si="2"/>
        <v>351</v>
      </c>
      <c r="N70" s="16">
        <f t="shared" si="3"/>
        <v>896110.61670000013</v>
      </c>
      <c r="P70" s="11">
        <v>876701.3709000001</v>
      </c>
      <c r="Q70" s="11">
        <f t="shared" si="4"/>
        <v>19409.245800000033</v>
      </c>
      <c r="S70" s="30">
        <v>359</v>
      </c>
      <c r="T70" s="30">
        <v>0</v>
      </c>
      <c r="U70" s="30">
        <v>0</v>
      </c>
      <c r="W70" s="11">
        <f t="shared" si="5"/>
        <v>-8</v>
      </c>
      <c r="X70" s="11">
        <f t="shared" si="5"/>
        <v>0</v>
      </c>
      <c r="Y70" s="11">
        <f t="shared" si="5"/>
        <v>0</v>
      </c>
      <c r="AC70" s="16">
        <v>857164.85009999992</v>
      </c>
    </row>
    <row r="71" spans="1:29" x14ac:dyDescent="0.2">
      <c r="A71" s="9" t="s">
        <v>106</v>
      </c>
      <c r="B71" s="10">
        <v>3528</v>
      </c>
      <c r="C71" s="9">
        <v>347</v>
      </c>
      <c r="D71" s="9">
        <v>0</v>
      </c>
      <c r="E71" s="9">
        <v>0</v>
      </c>
      <c r="F71" s="9">
        <f t="shared" ref="F71:F77" si="6">SUM(C71:E71)</f>
        <v>347</v>
      </c>
      <c r="G71" s="9">
        <v>0</v>
      </c>
      <c r="H71" s="9">
        <v>0</v>
      </c>
      <c r="I71" s="9">
        <v>0</v>
      </c>
      <c r="J71" s="9">
        <f t="shared" ref="J71:L77" si="7">C71-G71</f>
        <v>347</v>
      </c>
      <c r="K71" s="9">
        <f t="shared" si="7"/>
        <v>0</v>
      </c>
      <c r="L71" s="9">
        <f t="shared" si="7"/>
        <v>0</v>
      </c>
      <c r="M71" s="31">
        <f t="shared" si="2"/>
        <v>347</v>
      </c>
      <c r="N71" s="16">
        <f t="shared" si="3"/>
        <v>885898.52990000008</v>
      </c>
      <c r="P71" s="11">
        <v>859606.91520000005</v>
      </c>
      <c r="Q71" s="11">
        <f t="shared" si="4"/>
        <v>26291.614700000035</v>
      </c>
      <c r="S71" s="30">
        <v>352</v>
      </c>
      <c r="T71" s="30">
        <v>0</v>
      </c>
      <c r="U71" s="30">
        <v>0</v>
      </c>
      <c r="W71" s="11">
        <f t="shared" si="5"/>
        <v>-5</v>
      </c>
      <c r="X71" s="11">
        <f t="shared" si="5"/>
        <v>0</v>
      </c>
      <c r="Y71" s="11">
        <f t="shared" si="5"/>
        <v>0</v>
      </c>
      <c r="AC71" s="16">
        <v>847396.58969999989</v>
      </c>
    </row>
    <row r="72" spans="1:29" x14ac:dyDescent="0.2">
      <c r="A72" s="9" t="s">
        <v>107</v>
      </c>
      <c r="B72" s="10">
        <v>3534</v>
      </c>
      <c r="C72" s="9">
        <v>244</v>
      </c>
      <c r="D72" s="9">
        <v>0</v>
      </c>
      <c r="E72" s="9">
        <v>0</v>
      </c>
      <c r="F72" s="9">
        <f t="shared" si="6"/>
        <v>244</v>
      </c>
      <c r="G72" s="9">
        <v>0</v>
      </c>
      <c r="H72" s="9">
        <v>0</v>
      </c>
      <c r="I72" s="9">
        <v>0</v>
      </c>
      <c r="J72" s="9">
        <f t="shared" si="7"/>
        <v>244</v>
      </c>
      <c r="K72" s="9">
        <f t="shared" si="7"/>
        <v>0</v>
      </c>
      <c r="L72" s="9">
        <f t="shared" si="7"/>
        <v>0</v>
      </c>
      <c r="M72" s="31">
        <f t="shared" ref="M72:M77" si="8">SUM(J72:L72)</f>
        <v>244</v>
      </c>
      <c r="N72" s="16">
        <f t="shared" ref="N72:N77" si="9">SUM(J72*$C$1)+SUM(K72*$D$3)+SUM(L72*$E$4)</f>
        <v>622937.29480000003</v>
      </c>
      <c r="P72" s="11">
        <v>583653.55890000006</v>
      </c>
      <c r="Q72" s="11">
        <f t="shared" ref="Q72:Q77" si="10">N72-P72</f>
        <v>39283.735899999971</v>
      </c>
      <c r="S72" s="30">
        <v>239</v>
      </c>
      <c r="T72" s="30">
        <v>0</v>
      </c>
      <c r="U72" s="30">
        <v>0</v>
      </c>
      <c r="W72" s="11">
        <f t="shared" ref="W72:Y77" si="11">J72-S72</f>
        <v>5</v>
      </c>
      <c r="X72" s="11">
        <f t="shared" si="11"/>
        <v>0</v>
      </c>
      <c r="Y72" s="11">
        <f t="shared" si="11"/>
        <v>0</v>
      </c>
      <c r="AC72" s="16">
        <v>595863.88439999998</v>
      </c>
    </row>
    <row r="73" spans="1:29" x14ac:dyDescent="0.2">
      <c r="A73" s="9" t="s">
        <v>108</v>
      </c>
      <c r="B73" s="10">
        <v>3532</v>
      </c>
      <c r="C73" s="9">
        <v>310</v>
      </c>
      <c r="D73" s="9">
        <v>0</v>
      </c>
      <c r="E73" s="9">
        <v>0</v>
      </c>
      <c r="F73" s="9">
        <f t="shared" si="6"/>
        <v>310</v>
      </c>
      <c r="G73" s="9">
        <v>0</v>
      </c>
      <c r="H73" s="9">
        <v>0</v>
      </c>
      <c r="I73" s="9">
        <v>0</v>
      </c>
      <c r="J73" s="9">
        <f t="shared" si="7"/>
        <v>310</v>
      </c>
      <c r="K73" s="9">
        <f t="shared" si="7"/>
        <v>0</v>
      </c>
      <c r="L73" s="9">
        <f t="shared" si="7"/>
        <v>0</v>
      </c>
      <c r="M73" s="31">
        <f t="shared" si="8"/>
        <v>310</v>
      </c>
      <c r="N73" s="16">
        <f t="shared" si="9"/>
        <v>791436.72700000007</v>
      </c>
      <c r="P73" s="11">
        <v>739945.72530000005</v>
      </c>
      <c r="Q73" s="11">
        <f t="shared" si="10"/>
        <v>51491.001700000023</v>
      </c>
      <c r="S73" s="30">
        <v>303</v>
      </c>
      <c r="T73" s="30">
        <v>0</v>
      </c>
      <c r="U73" s="30">
        <v>0</v>
      </c>
      <c r="W73" s="11">
        <f t="shared" si="11"/>
        <v>7</v>
      </c>
      <c r="X73" s="11">
        <f t="shared" si="11"/>
        <v>0</v>
      </c>
      <c r="Y73" s="11">
        <f t="shared" si="11"/>
        <v>0</v>
      </c>
      <c r="AC73" s="16">
        <v>757040.18099999998</v>
      </c>
    </row>
    <row r="74" spans="1:29" x14ac:dyDescent="0.2">
      <c r="A74" s="9" t="s">
        <v>65</v>
      </c>
      <c r="B74" s="10">
        <v>3546</v>
      </c>
      <c r="C74" s="9">
        <v>546</v>
      </c>
      <c r="D74" s="9">
        <v>0</v>
      </c>
      <c r="E74" s="9">
        <v>0</v>
      </c>
      <c r="F74" s="9">
        <f t="shared" si="6"/>
        <v>546</v>
      </c>
      <c r="G74" s="9">
        <v>0</v>
      </c>
      <c r="H74" s="9">
        <v>0</v>
      </c>
      <c r="I74" s="9">
        <v>0</v>
      </c>
      <c r="J74" s="9">
        <f t="shared" si="7"/>
        <v>546</v>
      </c>
      <c r="K74" s="9">
        <f t="shared" si="7"/>
        <v>0</v>
      </c>
      <c r="L74" s="9">
        <f t="shared" si="7"/>
        <v>0</v>
      </c>
      <c r="M74" s="31">
        <f t="shared" si="8"/>
        <v>546</v>
      </c>
      <c r="N74" s="16">
        <f t="shared" si="9"/>
        <v>1393949.8482000001</v>
      </c>
      <c r="P74" s="11">
        <v>1301620.6983</v>
      </c>
      <c r="Q74" s="11">
        <f t="shared" si="10"/>
        <v>92329.149900000077</v>
      </c>
      <c r="S74" s="30">
        <v>533</v>
      </c>
      <c r="T74" s="30">
        <v>0</v>
      </c>
      <c r="U74" s="30">
        <v>0</v>
      </c>
      <c r="W74" s="11">
        <f t="shared" si="11"/>
        <v>13</v>
      </c>
      <c r="X74" s="11">
        <f t="shared" si="11"/>
        <v>0</v>
      </c>
      <c r="Y74" s="11">
        <f t="shared" si="11"/>
        <v>0</v>
      </c>
      <c r="AC74" s="16">
        <v>1333367.5445999999</v>
      </c>
    </row>
    <row r="75" spans="1:29" x14ac:dyDescent="0.2">
      <c r="A75" s="9" t="s">
        <v>109</v>
      </c>
      <c r="B75" s="10">
        <v>3530</v>
      </c>
      <c r="C75" s="9">
        <v>317</v>
      </c>
      <c r="D75" s="9">
        <v>0</v>
      </c>
      <c r="E75" s="9">
        <v>0</v>
      </c>
      <c r="F75" s="9">
        <f t="shared" si="6"/>
        <v>317</v>
      </c>
      <c r="G75" s="9">
        <v>0</v>
      </c>
      <c r="H75" s="9">
        <v>0</v>
      </c>
      <c r="I75" s="9">
        <v>0</v>
      </c>
      <c r="J75" s="9">
        <f t="shared" si="7"/>
        <v>317</v>
      </c>
      <c r="K75" s="9">
        <f t="shared" si="7"/>
        <v>0</v>
      </c>
      <c r="L75" s="9">
        <f t="shared" si="7"/>
        <v>0</v>
      </c>
      <c r="M75" s="31">
        <f t="shared" si="8"/>
        <v>317</v>
      </c>
      <c r="N75" s="16">
        <f t="shared" si="9"/>
        <v>809307.87890000013</v>
      </c>
      <c r="P75" s="11">
        <v>759482.24610000011</v>
      </c>
      <c r="Q75" s="11">
        <f t="shared" si="10"/>
        <v>49825.632800000021</v>
      </c>
      <c r="S75" s="30">
        <v>311</v>
      </c>
      <c r="T75" s="30">
        <v>0</v>
      </c>
      <c r="U75" s="30">
        <v>0</v>
      </c>
      <c r="W75" s="11">
        <f t="shared" si="11"/>
        <v>6</v>
      </c>
      <c r="X75" s="11">
        <f t="shared" si="11"/>
        <v>0</v>
      </c>
      <c r="Y75" s="11">
        <f t="shared" si="11"/>
        <v>0</v>
      </c>
      <c r="AC75" s="16">
        <v>774134.63669999992</v>
      </c>
    </row>
    <row r="76" spans="1:29" x14ac:dyDescent="0.2">
      <c r="A76" s="9" t="s">
        <v>67</v>
      </c>
      <c r="B76" s="10">
        <v>2459</v>
      </c>
      <c r="C76" s="9">
        <v>390</v>
      </c>
      <c r="D76" s="9">
        <v>0</v>
      </c>
      <c r="E76" s="9">
        <v>0</v>
      </c>
      <c r="F76" s="9">
        <f t="shared" si="6"/>
        <v>390</v>
      </c>
      <c r="G76" s="9">
        <v>0</v>
      </c>
      <c r="H76" s="9">
        <v>0</v>
      </c>
      <c r="I76" s="9">
        <v>0</v>
      </c>
      <c r="J76" s="9">
        <f t="shared" si="7"/>
        <v>390</v>
      </c>
      <c r="K76" s="9">
        <f t="shared" si="7"/>
        <v>0</v>
      </c>
      <c r="L76" s="9">
        <f t="shared" si="7"/>
        <v>0</v>
      </c>
      <c r="M76" s="31">
        <f t="shared" si="8"/>
        <v>390</v>
      </c>
      <c r="N76" s="16">
        <f t="shared" si="9"/>
        <v>995678.46300000011</v>
      </c>
      <c r="P76" s="11">
        <v>945079.19370000006</v>
      </c>
      <c r="Q76" s="11">
        <f t="shared" si="10"/>
        <v>50599.269300000044</v>
      </c>
      <c r="S76" s="30">
        <v>387</v>
      </c>
      <c r="T76" s="30">
        <v>0</v>
      </c>
      <c r="U76" s="30">
        <v>0</v>
      </c>
      <c r="W76" s="11">
        <f t="shared" si="11"/>
        <v>3</v>
      </c>
      <c r="X76" s="11">
        <f t="shared" si="11"/>
        <v>0</v>
      </c>
      <c r="Y76" s="11">
        <f t="shared" si="11"/>
        <v>0</v>
      </c>
      <c r="AC76" s="16">
        <v>952405.38899999997</v>
      </c>
    </row>
    <row r="77" spans="1:29" s="33" customFormat="1" x14ac:dyDescent="0.2">
      <c r="A77" s="805" t="s">
        <v>912</v>
      </c>
      <c r="B77" s="27">
        <v>4000</v>
      </c>
      <c r="C77" s="805">
        <f>22+40+43+23+31+60/12*7+60/12*7</f>
        <v>229</v>
      </c>
      <c r="D77" s="805">
        <v>0</v>
      </c>
      <c r="E77" s="805">
        <v>0</v>
      </c>
      <c r="F77" s="805">
        <f t="shared" si="6"/>
        <v>229</v>
      </c>
      <c r="G77" s="805">
        <v>0</v>
      </c>
      <c r="H77" s="805">
        <v>0</v>
      </c>
      <c r="I77" s="805">
        <v>0</v>
      </c>
      <c r="J77" s="805">
        <f t="shared" si="7"/>
        <v>229</v>
      </c>
      <c r="K77" s="805">
        <f t="shared" si="7"/>
        <v>0</v>
      </c>
      <c r="L77" s="805">
        <f t="shared" si="7"/>
        <v>0</v>
      </c>
      <c r="M77" s="806">
        <f t="shared" si="8"/>
        <v>229</v>
      </c>
      <c r="N77" s="807">
        <f t="shared" si="9"/>
        <v>584641.9693</v>
      </c>
      <c r="O77" s="809"/>
      <c r="P77" s="809">
        <v>0</v>
      </c>
      <c r="Q77" s="809">
        <f t="shared" si="10"/>
        <v>584641.9693</v>
      </c>
      <c r="R77" s="33" t="s">
        <v>913</v>
      </c>
      <c r="S77" s="33">
        <v>0</v>
      </c>
      <c r="T77" s="33">
        <v>0</v>
      </c>
      <c r="U77" s="33">
        <v>0</v>
      </c>
      <c r="W77" s="809">
        <f t="shared" si="11"/>
        <v>229</v>
      </c>
      <c r="X77" s="809">
        <f t="shared" si="11"/>
        <v>0</v>
      </c>
      <c r="Y77" s="809">
        <f t="shared" si="11"/>
        <v>0</v>
      </c>
      <c r="AC77" s="16">
        <v>559232.90789999999</v>
      </c>
    </row>
    <row r="78" spans="1:29" x14ac:dyDescent="0.2">
      <c r="A78" s="9"/>
      <c r="B78" s="10"/>
      <c r="C78" s="9"/>
      <c r="D78" s="9"/>
      <c r="E78" s="9"/>
      <c r="F78" s="9"/>
      <c r="G78" s="9"/>
      <c r="H78" s="9"/>
      <c r="I78" s="9"/>
      <c r="J78" s="9"/>
      <c r="K78" s="9"/>
      <c r="L78" s="9"/>
      <c r="M78" s="31"/>
      <c r="N78" s="16"/>
      <c r="AC78" s="16"/>
    </row>
    <row r="79" spans="1:29" x14ac:dyDescent="0.2">
      <c r="A79" s="1" t="s">
        <v>110</v>
      </c>
      <c r="B79" s="1" t="s">
        <v>110</v>
      </c>
      <c r="C79" s="1">
        <f t="shared" ref="C79:N79" si="12">SUM(C7:C78)</f>
        <v>22025</v>
      </c>
      <c r="D79" s="1">
        <f t="shared" si="12"/>
        <v>0</v>
      </c>
      <c r="E79" s="1">
        <f t="shared" si="12"/>
        <v>0</v>
      </c>
      <c r="F79" s="1">
        <f t="shared" si="12"/>
        <v>22025</v>
      </c>
      <c r="G79" s="1">
        <f t="shared" si="12"/>
        <v>140</v>
      </c>
      <c r="H79" s="1">
        <f t="shared" si="12"/>
        <v>0</v>
      </c>
      <c r="I79" s="1">
        <f t="shared" si="12"/>
        <v>0</v>
      </c>
      <c r="J79" s="1">
        <f t="shared" si="12"/>
        <v>21885</v>
      </c>
      <c r="K79" s="1">
        <f t="shared" si="12"/>
        <v>0</v>
      </c>
      <c r="L79" s="1">
        <f t="shared" si="12"/>
        <v>0</v>
      </c>
      <c r="M79" s="811">
        <f t="shared" si="12"/>
        <v>21885</v>
      </c>
      <c r="N79" s="1">
        <f t="shared" si="12"/>
        <v>55872879.904499985</v>
      </c>
      <c r="O79" s="1"/>
      <c r="P79" s="1">
        <f t="shared" ref="P79:Y79" si="13">SUM(P7:P78)</f>
        <v>51280925.034899987</v>
      </c>
      <c r="Q79" s="1">
        <f t="shared" si="13"/>
        <v>4591954.8695999989</v>
      </c>
      <c r="R79" s="1"/>
      <c r="S79" s="1">
        <f t="shared" si="13"/>
        <v>20999</v>
      </c>
      <c r="T79" s="1">
        <f t="shared" si="13"/>
        <v>0</v>
      </c>
      <c r="U79" s="1">
        <f t="shared" si="13"/>
        <v>0</v>
      </c>
      <c r="W79" s="1">
        <f t="shared" si="13"/>
        <v>886</v>
      </c>
      <c r="X79" s="1">
        <f t="shared" si="13"/>
        <v>0</v>
      </c>
      <c r="Y79" s="1">
        <f t="shared" si="13"/>
        <v>0</v>
      </c>
      <c r="AC79" s="1">
        <f t="shared" ref="AC79" si="14">SUM(AC7:AC78)</f>
        <v>53444594.713500008</v>
      </c>
    </row>
    <row r="80" spans="1:29" x14ac:dyDescent="0.2">
      <c r="A80" s="9"/>
      <c r="B80" s="10"/>
      <c r="C80" s="9"/>
      <c r="D80" s="9"/>
      <c r="E80" s="9"/>
      <c r="F80" s="9"/>
      <c r="G80" s="9"/>
      <c r="H80" s="9"/>
      <c r="I80" s="9"/>
      <c r="J80" s="9"/>
      <c r="K80" s="9"/>
      <c r="L80" s="9"/>
      <c r="M80" s="31"/>
      <c r="N80" s="16">
        <f>N79-'2015-16 FORMULA'!C74</f>
        <v>0</v>
      </c>
      <c r="O80" s="812"/>
      <c r="AC80" s="16"/>
    </row>
    <row r="81" spans="1:29" s="33" customFormat="1" x14ac:dyDescent="0.2">
      <c r="A81" s="805" t="s">
        <v>75</v>
      </c>
      <c r="B81" s="27">
        <v>5402</v>
      </c>
      <c r="C81" s="805">
        <v>0</v>
      </c>
      <c r="D81" s="805">
        <v>792</v>
      </c>
      <c r="E81" s="805">
        <v>534</v>
      </c>
      <c r="F81" s="805">
        <f t="shared" ref="F81:F94" si="15">SUM(C81:E81)</f>
        <v>1326</v>
      </c>
      <c r="G81" s="805">
        <v>0</v>
      </c>
      <c r="H81" s="805">
        <v>0</v>
      </c>
      <c r="I81" s="805">
        <v>0</v>
      </c>
      <c r="J81" s="805">
        <f t="shared" ref="J81:L94" si="16">C81-G81</f>
        <v>0</v>
      </c>
      <c r="K81" s="805">
        <f t="shared" si="16"/>
        <v>792</v>
      </c>
      <c r="L81" s="805">
        <f t="shared" si="16"/>
        <v>534</v>
      </c>
      <c r="M81" s="806">
        <f t="shared" ref="M81:M94" si="17">SUM(J81:L81)</f>
        <v>1326</v>
      </c>
      <c r="N81" s="807">
        <f>SUM(J81*$C$1)+SUM(K81*$D$3)+SUM(L81*$E$4)</f>
        <v>4970365.2</v>
      </c>
      <c r="O81" s="809"/>
      <c r="P81" s="809">
        <v>4853908.1850000005</v>
      </c>
      <c r="Q81" s="809">
        <f t="shared" ref="Q81:Q94" si="18">N81-P81</f>
        <v>116457.01499999966</v>
      </c>
      <c r="S81" s="33">
        <v>0</v>
      </c>
      <c r="T81" s="33">
        <v>784</v>
      </c>
      <c r="U81" s="33">
        <v>549</v>
      </c>
      <c r="W81" s="809">
        <f t="shared" ref="W81:Y94" si="19">J81-S81</f>
        <v>0</v>
      </c>
      <c r="X81" s="809">
        <f t="shared" si="19"/>
        <v>8</v>
      </c>
      <c r="Y81" s="809">
        <f t="shared" si="19"/>
        <v>-15</v>
      </c>
      <c r="AC81" s="16">
        <v>4823236.7484000009</v>
      </c>
    </row>
    <row r="82" spans="1:29" x14ac:dyDescent="0.2">
      <c r="A82" s="9" t="s">
        <v>68</v>
      </c>
      <c r="B82" s="10">
        <v>4608</v>
      </c>
      <c r="C82" s="9">
        <v>0</v>
      </c>
      <c r="D82" s="9">
        <v>319</v>
      </c>
      <c r="E82" s="9">
        <v>235</v>
      </c>
      <c r="F82" s="9">
        <f t="shared" si="15"/>
        <v>554</v>
      </c>
      <c r="G82" s="9">
        <v>0</v>
      </c>
      <c r="H82" s="9">
        <v>0</v>
      </c>
      <c r="I82" s="9">
        <v>0</v>
      </c>
      <c r="J82" s="9">
        <f t="shared" si="16"/>
        <v>0</v>
      </c>
      <c r="K82" s="9">
        <f t="shared" si="16"/>
        <v>319</v>
      </c>
      <c r="L82" s="9">
        <f t="shared" si="16"/>
        <v>235</v>
      </c>
      <c r="M82" s="31">
        <f t="shared" si="17"/>
        <v>554</v>
      </c>
      <c r="N82" s="16">
        <f t="shared" ref="N82:N94" si="20">SUM(J82*$C$1)+SUM(K82*$D$3)+SUM(L82*$E$4)</f>
        <v>2081695.5736000002</v>
      </c>
      <c r="P82" s="11">
        <v>2036652.4388000001</v>
      </c>
      <c r="Q82" s="11">
        <f t="shared" si="18"/>
        <v>45043.134800000116</v>
      </c>
      <c r="S82" s="30">
        <v>0</v>
      </c>
      <c r="T82" s="30">
        <v>317</v>
      </c>
      <c r="U82" s="30">
        <v>241</v>
      </c>
      <c r="W82" s="11">
        <f t="shared" si="19"/>
        <v>0</v>
      </c>
      <c r="X82" s="11">
        <f t="shared" si="19"/>
        <v>2</v>
      </c>
      <c r="Y82" s="11">
        <f t="shared" si="19"/>
        <v>-6</v>
      </c>
      <c r="AC82" s="16">
        <v>2020225.6172000002</v>
      </c>
    </row>
    <row r="83" spans="1:29" x14ac:dyDescent="0.2">
      <c r="A83" s="9" t="s">
        <v>111</v>
      </c>
      <c r="B83" s="10">
        <v>4178</v>
      </c>
      <c r="C83" s="9">
        <v>0</v>
      </c>
      <c r="D83" s="9">
        <v>787</v>
      </c>
      <c r="E83" s="9">
        <v>521</v>
      </c>
      <c r="F83" s="9">
        <f t="shared" si="15"/>
        <v>1308</v>
      </c>
      <c r="G83" s="9">
        <v>0</v>
      </c>
      <c r="H83" s="9">
        <v>0</v>
      </c>
      <c r="I83" s="9">
        <v>0</v>
      </c>
      <c r="J83" s="9">
        <f t="shared" si="16"/>
        <v>0</v>
      </c>
      <c r="K83" s="9">
        <f t="shared" si="16"/>
        <v>787</v>
      </c>
      <c r="L83" s="9">
        <f t="shared" si="16"/>
        <v>521</v>
      </c>
      <c r="M83" s="31">
        <f t="shared" si="17"/>
        <v>1308</v>
      </c>
      <c r="N83" s="16">
        <f t="shared" si="20"/>
        <v>4900434.6136000007</v>
      </c>
      <c r="P83" s="11">
        <v>4757014.0464000003</v>
      </c>
      <c r="Q83" s="11">
        <f t="shared" si="18"/>
        <v>143420.5672000004</v>
      </c>
      <c r="S83" s="30">
        <v>0</v>
      </c>
      <c r="T83" s="30">
        <v>783</v>
      </c>
      <c r="U83" s="30">
        <v>525</v>
      </c>
      <c r="W83" s="11">
        <f t="shared" si="19"/>
        <v>0</v>
      </c>
      <c r="X83" s="11">
        <f t="shared" si="19"/>
        <v>4</v>
      </c>
      <c r="Y83" s="11">
        <f t="shared" si="19"/>
        <v>-4</v>
      </c>
      <c r="AC83" s="16">
        <v>4755303.3808000004</v>
      </c>
    </row>
    <row r="84" spans="1:29" s="33" customFormat="1" x14ac:dyDescent="0.2">
      <c r="A84" s="805" t="s">
        <v>69</v>
      </c>
      <c r="B84" s="27">
        <v>4181</v>
      </c>
      <c r="C84" s="805">
        <v>0</v>
      </c>
      <c r="D84" s="805">
        <v>652</v>
      </c>
      <c r="E84" s="805">
        <v>427</v>
      </c>
      <c r="F84" s="805">
        <f t="shared" si="15"/>
        <v>1079</v>
      </c>
      <c r="G84" s="805">
        <v>0</v>
      </c>
      <c r="H84" s="808">
        <v>8</v>
      </c>
      <c r="I84" s="808">
        <v>8</v>
      </c>
      <c r="J84" s="805">
        <f t="shared" si="16"/>
        <v>0</v>
      </c>
      <c r="K84" s="805">
        <f t="shared" si="16"/>
        <v>644</v>
      </c>
      <c r="L84" s="805">
        <f t="shared" si="16"/>
        <v>419</v>
      </c>
      <c r="M84" s="806">
        <f t="shared" si="17"/>
        <v>1063</v>
      </c>
      <c r="N84" s="807">
        <f t="shared" si="20"/>
        <v>3980652.8528</v>
      </c>
      <c r="O84" s="809"/>
      <c r="P84" s="809">
        <v>3878705.1422000006</v>
      </c>
      <c r="Q84" s="809">
        <f t="shared" si="18"/>
        <v>101947.71059999941</v>
      </c>
      <c r="S84" s="33">
        <v>0</v>
      </c>
      <c r="T84" s="33">
        <v>643</v>
      </c>
      <c r="U84" s="33">
        <v>424</v>
      </c>
      <c r="W84" s="809">
        <f t="shared" si="19"/>
        <v>0</v>
      </c>
      <c r="X84" s="809">
        <f t="shared" si="19"/>
        <v>1</v>
      </c>
      <c r="Y84" s="809">
        <f t="shared" si="19"/>
        <v>-5</v>
      </c>
      <c r="AC84" s="16">
        <v>3862705.9870000007</v>
      </c>
    </row>
    <row r="85" spans="1:29" x14ac:dyDescent="0.2">
      <c r="A85" s="9" t="s">
        <v>70</v>
      </c>
      <c r="B85" s="10">
        <v>4182</v>
      </c>
      <c r="C85" s="9">
        <v>0</v>
      </c>
      <c r="D85" s="9">
        <v>875</v>
      </c>
      <c r="E85" s="9">
        <v>523</v>
      </c>
      <c r="F85" s="9">
        <f t="shared" si="15"/>
        <v>1398</v>
      </c>
      <c r="G85" s="9">
        <v>0</v>
      </c>
      <c r="H85" s="9">
        <v>0</v>
      </c>
      <c r="I85" s="9">
        <v>0</v>
      </c>
      <c r="J85" s="9">
        <f t="shared" si="16"/>
        <v>0</v>
      </c>
      <c r="K85" s="9">
        <f t="shared" si="16"/>
        <v>875</v>
      </c>
      <c r="L85" s="9">
        <f t="shared" si="16"/>
        <v>523</v>
      </c>
      <c r="M85" s="31">
        <f t="shared" si="17"/>
        <v>1398</v>
      </c>
      <c r="N85" s="16">
        <f t="shared" si="20"/>
        <v>5223144.5624000002</v>
      </c>
      <c r="P85" s="11">
        <v>4980925.5496000005</v>
      </c>
      <c r="Q85" s="11">
        <f t="shared" si="18"/>
        <v>242219.01279999968</v>
      </c>
      <c r="S85" s="30">
        <v>0</v>
      </c>
      <c r="T85" s="30">
        <v>842</v>
      </c>
      <c r="U85" s="30">
        <v>530</v>
      </c>
      <c r="W85" s="11">
        <f t="shared" si="19"/>
        <v>0</v>
      </c>
      <c r="X85" s="11">
        <f t="shared" si="19"/>
        <v>33</v>
      </c>
      <c r="Y85" s="11">
        <f t="shared" si="19"/>
        <v>-7</v>
      </c>
      <c r="AC85" s="16">
        <v>5068027.2356000002</v>
      </c>
    </row>
    <row r="86" spans="1:29" s="33" customFormat="1" x14ac:dyDescent="0.2">
      <c r="A86" s="805" t="s">
        <v>71</v>
      </c>
      <c r="B86" s="28">
        <v>4001</v>
      </c>
      <c r="C86" s="805">
        <v>0</v>
      </c>
      <c r="D86" s="805">
        <v>406</v>
      </c>
      <c r="E86" s="805">
        <v>325</v>
      </c>
      <c r="F86" s="805">
        <f t="shared" si="15"/>
        <v>731</v>
      </c>
      <c r="G86" s="805">
        <v>0</v>
      </c>
      <c r="H86" s="805">
        <v>0</v>
      </c>
      <c r="I86" s="805">
        <v>0</v>
      </c>
      <c r="J86" s="805">
        <f t="shared" si="16"/>
        <v>0</v>
      </c>
      <c r="K86" s="805">
        <f t="shared" si="16"/>
        <v>406</v>
      </c>
      <c r="L86" s="805">
        <f t="shared" si="16"/>
        <v>325</v>
      </c>
      <c r="M86" s="806">
        <f t="shared" si="17"/>
        <v>731</v>
      </c>
      <c r="N86" s="807">
        <f t="shared" si="20"/>
        <v>2753166.2944</v>
      </c>
      <c r="O86" s="809"/>
      <c r="P86" s="809">
        <v>2795861.3465999998</v>
      </c>
      <c r="Q86" s="809">
        <f t="shared" si="18"/>
        <v>-42695.052199999802</v>
      </c>
      <c r="S86" s="33">
        <v>0</v>
      </c>
      <c r="T86" s="33">
        <v>426</v>
      </c>
      <c r="U86" s="33">
        <v>339</v>
      </c>
      <c r="W86" s="809">
        <f t="shared" si="19"/>
        <v>0</v>
      </c>
      <c r="X86" s="809">
        <f t="shared" si="19"/>
        <v>-20</v>
      </c>
      <c r="Y86" s="809">
        <f t="shared" si="19"/>
        <v>-14</v>
      </c>
      <c r="AC86" s="16">
        <v>2672057.0197999999</v>
      </c>
    </row>
    <row r="87" spans="1:29" x14ac:dyDescent="0.2">
      <c r="A87" s="9" t="s">
        <v>112</v>
      </c>
      <c r="B87" s="10">
        <v>5406</v>
      </c>
      <c r="C87" s="9">
        <v>0</v>
      </c>
      <c r="D87" s="9">
        <v>479</v>
      </c>
      <c r="E87" s="9">
        <v>376</v>
      </c>
      <c r="F87" s="9">
        <f t="shared" si="15"/>
        <v>855</v>
      </c>
      <c r="G87" s="9">
        <v>0</v>
      </c>
      <c r="H87" s="9">
        <v>0</v>
      </c>
      <c r="I87" s="9">
        <v>0</v>
      </c>
      <c r="J87" s="9">
        <f t="shared" si="16"/>
        <v>0</v>
      </c>
      <c r="K87" s="9">
        <f t="shared" si="16"/>
        <v>479</v>
      </c>
      <c r="L87" s="9">
        <f t="shared" si="16"/>
        <v>376</v>
      </c>
      <c r="M87" s="31">
        <f t="shared" si="17"/>
        <v>855</v>
      </c>
      <c r="N87" s="16">
        <f t="shared" si="20"/>
        <v>3218421.4183999998</v>
      </c>
      <c r="P87" s="11">
        <v>3104516.8308000001</v>
      </c>
      <c r="Q87" s="11">
        <f t="shared" si="18"/>
        <v>113904.58759999974</v>
      </c>
      <c r="S87" s="30">
        <v>0</v>
      </c>
      <c r="T87" s="30">
        <v>478</v>
      </c>
      <c r="U87" s="30">
        <v>372</v>
      </c>
      <c r="W87" s="11">
        <f t="shared" si="19"/>
        <v>0</v>
      </c>
      <c r="X87" s="11">
        <f t="shared" si="19"/>
        <v>1</v>
      </c>
      <c r="Y87" s="11">
        <f t="shared" si="19"/>
        <v>4</v>
      </c>
      <c r="AC87" s="16">
        <v>3123553.5254000002</v>
      </c>
    </row>
    <row r="88" spans="1:29" x14ac:dyDescent="0.2">
      <c r="A88" s="9" t="s">
        <v>113</v>
      </c>
      <c r="B88" s="10">
        <v>5407</v>
      </c>
      <c r="C88" s="9">
        <v>0</v>
      </c>
      <c r="D88" s="9">
        <v>658</v>
      </c>
      <c r="E88" s="9">
        <v>377</v>
      </c>
      <c r="F88" s="9">
        <f t="shared" si="15"/>
        <v>1035</v>
      </c>
      <c r="G88" s="9">
        <v>0</v>
      </c>
      <c r="H88" s="9">
        <v>0</v>
      </c>
      <c r="I88" s="9">
        <v>0</v>
      </c>
      <c r="J88" s="9">
        <f t="shared" si="16"/>
        <v>0</v>
      </c>
      <c r="K88" s="9">
        <f t="shared" si="16"/>
        <v>658</v>
      </c>
      <c r="L88" s="9">
        <f t="shared" si="16"/>
        <v>377</v>
      </c>
      <c r="M88" s="31">
        <f t="shared" si="17"/>
        <v>1035</v>
      </c>
      <c r="N88" s="16">
        <f t="shared" si="20"/>
        <v>3862558.3168000001</v>
      </c>
      <c r="P88" s="11">
        <v>3611676.0022</v>
      </c>
      <c r="Q88" s="11">
        <f t="shared" si="18"/>
        <v>250882.31460000016</v>
      </c>
      <c r="S88" s="30">
        <v>0</v>
      </c>
      <c r="T88" s="30">
        <v>612</v>
      </c>
      <c r="U88" s="30">
        <v>383</v>
      </c>
      <c r="W88" s="11">
        <f t="shared" si="19"/>
        <v>0</v>
      </c>
      <c r="X88" s="11">
        <f t="shared" si="19"/>
        <v>46</v>
      </c>
      <c r="Y88" s="11">
        <f t="shared" si="19"/>
        <v>-6</v>
      </c>
      <c r="AC88" s="16">
        <v>3747718.2357999999</v>
      </c>
    </row>
    <row r="89" spans="1:29" s="33" customFormat="1" x14ac:dyDescent="0.2">
      <c r="A89" s="805" t="s">
        <v>72</v>
      </c>
      <c r="B89" s="27">
        <v>4607</v>
      </c>
      <c r="C89" s="805">
        <v>0</v>
      </c>
      <c r="D89" s="805">
        <v>687</v>
      </c>
      <c r="E89" s="805">
        <v>478</v>
      </c>
      <c r="F89" s="805">
        <f t="shared" si="15"/>
        <v>1165</v>
      </c>
      <c r="G89" s="805">
        <v>0</v>
      </c>
      <c r="H89" s="808">
        <v>10</v>
      </c>
      <c r="I89" s="808">
        <v>12</v>
      </c>
      <c r="J89" s="805">
        <f t="shared" si="16"/>
        <v>0</v>
      </c>
      <c r="K89" s="805">
        <f t="shared" si="16"/>
        <v>677</v>
      </c>
      <c r="L89" s="805">
        <f t="shared" si="16"/>
        <v>466</v>
      </c>
      <c r="M89" s="806">
        <f t="shared" si="17"/>
        <v>1143</v>
      </c>
      <c r="N89" s="807">
        <f t="shared" si="20"/>
        <v>4286846.1655999999</v>
      </c>
      <c r="O89" s="809"/>
      <c r="P89" s="809">
        <v>4200366.1168</v>
      </c>
      <c r="Q89" s="809">
        <f t="shared" si="18"/>
        <v>86480.04879999999</v>
      </c>
      <c r="S89" s="33">
        <v>0</v>
      </c>
      <c r="T89" s="33">
        <v>701</v>
      </c>
      <c r="U89" s="33">
        <v>455</v>
      </c>
      <c r="W89" s="809">
        <f t="shared" si="19"/>
        <v>0</v>
      </c>
      <c r="X89" s="809">
        <f t="shared" si="19"/>
        <v>-24</v>
      </c>
      <c r="Y89" s="809">
        <f t="shared" si="19"/>
        <v>11</v>
      </c>
      <c r="AC89" s="16">
        <v>4160022.7718000002</v>
      </c>
    </row>
    <row r="90" spans="1:29" s="33" customFormat="1" x14ac:dyDescent="0.2">
      <c r="A90" s="805" t="s">
        <v>137</v>
      </c>
      <c r="B90" s="28">
        <v>4002</v>
      </c>
      <c r="C90" s="805">
        <v>0</v>
      </c>
      <c r="D90" s="805">
        <v>443</v>
      </c>
      <c r="E90" s="805">
        <v>335</v>
      </c>
      <c r="F90" s="805">
        <f t="shared" si="15"/>
        <v>778</v>
      </c>
      <c r="G90" s="805">
        <v>0</v>
      </c>
      <c r="H90" s="805">
        <v>0</v>
      </c>
      <c r="I90" s="805">
        <v>0</v>
      </c>
      <c r="J90" s="805">
        <f t="shared" si="16"/>
        <v>0</v>
      </c>
      <c r="K90" s="805">
        <f t="shared" si="16"/>
        <v>443</v>
      </c>
      <c r="L90" s="805">
        <f t="shared" si="16"/>
        <v>335</v>
      </c>
      <c r="M90" s="806">
        <f t="shared" si="17"/>
        <v>778</v>
      </c>
      <c r="N90" s="807">
        <f t="shared" si="20"/>
        <v>2925522.5912000001</v>
      </c>
      <c r="O90" s="809"/>
      <c r="P90" s="809">
        <v>2762272.9148000004</v>
      </c>
      <c r="Q90" s="809">
        <f t="shared" si="18"/>
        <v>163249.67639999976</v>
      </c>
      <c r="S90" s="33">
        <v>0</v>
      </c>
      <c r="T90" s="33">
        <v>368</v>
      </c>
      <c r="U90" s="33">
        <v>382</v>
      </c>
      <c r="W90" s="809">
        <f t="shared" si="19"/>
        <v>0</v>
      </c>
      <c r="X90" s="809">
        <f t="shared" si="19"/>
        <v>75</v>
      </c>
      <c r="Y90" s="809">
        <f t="shared" si="19"/>
        <v>-47</v>
      </c>
      <c r="AC90" s="16">
        <v>2839198.3563999999</v>
      </c>
    </row>
    <row r="91" spans="1:29" s="33" customFormat="1" x14ac:dyDescent="0.2">
      <c r="A91" s="805" t="s">
        <v>74</v>
      </c>
      <c r="B91" s="27">
        <v>5412</v>
      </c>
      <c r="C91" s="805">
        <v>0</v>
      </c>
      <c r="D91" s="805">
        <v>744</v>
      </c>
      <c r="E91" s="805">
        <v>513</v>
      </c>
      <c r="F91" s="805">
        <f t="shared" si="15"/>
        <v>1257</v>
      </c>
      <c r="G91" s="805">
        <v>0</v>
      </c>
      <c r="H91" s="805">
        <v>0</v>
      </c>
      <c r="I91" s="805">
        <v>0</v>
      </c>
      <c r="J91" s="805">
        <f t="shared" si="16"/>
        <v>0</v>
      </c>
      <c r="K91" s="805">
        <f t="shared" si="16"/>
        <v>744</v>
      </c>
      <c r="L91" s="805">
        <f t="shared" si="16"/>
        <v>513</v>
      </c>
      <c r="M91" s="806">
        <f t="shared" si="17"/>
        <v>1257</v>
      </c>
      <c r="N91" s="807">
        <f t="shared" si="20"/>
        <v>4714629</v>
      </c>
      <c r="O91" s="809"/>
      <c r="P91" s="809">
        <v>4521511.6758000003</v>
      </c>
      <c r="Q91" s="809">
        <f t="shared" si="18"/>
        <v>193117.32419999968</v>
      </c>
      <c r="S91" s="33">
        <v>0</v>
      </c>
      <c r="T91" s="33">
        <v>742</v>
      </c>
      <c r="U91" s="33">
        <v>501</v>
      </c>
      <c r="W91" s="809">
        <f t="shared" si="19"/>
        <v>0</v>
      </c>
      <c r="X91" s="809">
        <f t="shared" si="19"/>
        <v>2</v>
      </c>
      <c r="Y91" s="809">
        <f t="shared" si="19"/>
        <v>12</v>
      </c>
      <c r="AC91" s="16">
        <v>4575156.5538000008</v>
      </c>
    </row>
    <row r="92" spans="1:29" s="33" customFormat="1" x14ac:dyDescent="0.2">
      <c r="A92" s="805" t="s">
        <v>73</v>
      </c>
      <c r="B92" s="27">
        <v>5414</v>
      </c>
      <c r="C92" s="805">
        <v>0</v>
      </c>
      <c r="D92" s="805">
        <v>643</v>
      </c>
      <c r="E92" s="805">
        <v>412</v>
      </c>
      <c r="F92" s="805">
        <f t="shared" si="15"/>
        <v>1055</v>
      </c>
      <c r="G92" s="805">
        <v>0</v>
      </c>
      <c r="H92" s="805">
        <v>0</v>
      </c>
      <c r="I92" s="808">
        <v>14</v>
      </c>
      <c r="J92" s="805">
        <f t="shared" si="16"/>
        <v>0</v>
      </c>
      <c r="K92" s="805">
        <f t="shared" si="16"/>
        <v>643</v>
      </c>
      <c r="L92" s="805">
        <f t="shared" si="16"/>
        <v>398</v>
      </c>
      <c r="M92" s="806">
        <f t="shared" si="17"/>
        <v>1041</v>
      </c>
      <c r="N92" s="807">
        <f t="shared" si="20"/>
        <v>3892996.2856000001</v>
      </c>
      <c r="O92" s="809"/>
      <c r="P92" s="809">
        <v>3712123.0958000002</v>
      </c>
      <c r="Q92" s="809">
        <f t="shared" si="18"/>
        <v>180873.18979999982</v>
      </c>
      <c r="S92" s="33">
        <v>0</v>
      </c>
      <c r="T92" s="33">
        <v>632</v>
      </c>
      <c r="U92" s="33">
        <v>391</v>
      </c>
      <c r="W92" s="809">
        <f t="shared" si="19"/>
        <v>0</v>
      </c>
      <c r="X92" s="809">
        <f t="shared" si="19"/>
        <v>11</v>
      </c>
      <c r="Y92" s="809">
        <f t="shared" si="19"/>
        <v>7</v>
      </c>
      <c r="AC92" s="16">
        <v>3777490.4650000003</v>
      </c>
    </row>
    <row r="93" spans="1:29" s="33" customFormat="1" x14ac:dyDescent="0.2">
      <c r="A93" s="805" t="s">
        <v>912</v>
      </c>
      <c r="B93" s="27">
        <v>4000</v>
      </c>
      <c r="C93" s="805">
        <v>0</v>
      </c>
      <c r="D93" s="805">
        <v>0</v>
      </c>
      <c r="E93" s="805">
        <v>0</v>
      </c>
      <c r="F93" s="805">
        <f t="shared" si="15"/>
        <v>0</v>
      </c>
      <c r="G93" s="805">
        <v>0</v>
      </c>
      <c r="H93" s="805">
        <v>0</v>
      </c>
      <c r="I93" s="805">
        <v>0</v>
      </c>
      <c r="J93" s="805">
        <f t="shared" si="16"/>
        <v>0</v>
      </c>
      <c r="K93" s="805">
        <f t="shared" si="16"/>
        <v>0</v>
      </c>
      <c r="L93" s="805">
        <f t="shared" si="16"/>
        <v>0</v>
      </c>
      <c r="M93" s="806">
        <f t="shared" si="17"/>
        <v>0</v>
      </c>
      <c r="N93" s="807">
        <f t="shared" si="20"/>
        <v>0</v>
      </c>
      <c r="O93" s="809"/>
      <c r="P93" s="809">
        <v>0</v>
      </c>
      <c r="Q93" s="809">
        <f t="shared" si="18"/>
        <v>0</v>
      </c>
      <c r="S93" s="33">
        <v>0</v>
      </c>
      <c r="T93" s="33">
        <v>0</v>
      </c>
      <c r="U93" s="33">
        <v>0</v>
      </c>
      <c r="W93" s="809">
        <f t="shared" si="19"/>
        <v>0</v>
      </c>
      <c r="X93" s="809">
        <f t="shared" si="19"/>
        <v>0</v>
      </c>
      <c r="Y93" s="809">
        <f t="shared" si="19"/>
        <v>0</v>
      </c>
      <c r="AC93" s="16">
        <v>0</v>
      </c>
    </row>
    <row r="94" spans="1:29" s="33" customFormat="1" x14ac:dyDescent="0.2">
      <c r="A94" s="805" t="s">
        <v>597</v>
      </c>
      <c r="B94" s="27">
        <v>6905</v>
      </c>
      <c r="C94" s="805">
        <v>0</v>
      </c>
      <c r="D94" s="805">
        <v>507</v>
      </c>
      <c r="E94" s="805">
        <v>337</v>
      </c>
      <c r="F94" s="805">
        <f t="shared" si="15"/>
        <v>844</v>
      </c>
      <c r="G94" s="805">
        <v>0</v>
      </c>
      <c r="H94" s="805">
        <v>0</v>
      </c>
      <c r="I94" s="805">
        <v>0</v>
      </c>
      <c r="J94" s="805">
        <f t="shared" si="16"/>
        <v>0</v>
      </c>
      <c r="K94" s="805">
        <f t="shared" si="16"/>
        <v>507</v>
      </c>
      <c r="L94" s="805">
        <f t="shared" si="16"/>
        <v>337</v>
      </c>
      <c r="M94" s="806">
        <f t="shared" si="17"/>
        <v>844</v>
      </c>
      <c r="N94" s="807">
        <f t="shared" si="20"/>
        <v>3162404.6424000002</v>
      </c>
      <c r="O94" s="809"/>
      <c r="P94" s="809">
        <v>0</v>
      </c>
      <c r="Q94" s="809">
        <f t="shared" si="18"/>
        <v>3162404.6424000002</v>
      </c>
      <c r="R94" s="33" t="s">
        <v>913</v>
      </c>
      <c r="S94" s="33">
        <v>0</v>
      </c>
      <c r="T94" s="33">
        <v>0</v>
      </c>
      <c r="U94" s="33">
        <v>0</v>
      </c>
      <c r="W94" s="809">
        <f t="shared" si="19"/>
        <v>0</v>
      </c>
      <c r="X94" s="809">
        <f t="shared" si="19"/>
        <v>507</v>
      </c>
      <c r="Y94" s="809">
        <f t="shared" si="19"/>
        <v>337</v>
      </c>
      <c r="AC94" s="16">
        <v>3068757.2719999999</v>
      </c>
    </row>
    <row r="95" spans="1:29" x14ac:dyDescent="0.2">
      <c r="A95" s="9"/>
      <c r="B95" s="10"/>
      <c r="C95" s="9"/>
      <c r="D95" s="9"/>
      <c r="E95" s="9"/>
      <c r="F95" s="9"/>
      <c r="G95" s="9"/>
      <c r="H95" s="9"/>
      <c r="I95" s="9"/>
      <c r="J95" s="9"/>
      <c r="K95" s="9"/>
      <c r="L95" s="9"/>
      <c r="M95" s="31"/>
      <c r="N95" s="16"/>
      <c r="AC95" s="16"/>
    </row>
    <row r="96" spans="1:29" x14ac:dyDescent="0.2">
      <c r="A96" s="1" t="s">
        <v>115</v>
      </c>
      <c r="B96" s="1" t="s">
        <v>115</v>
      </c>
      <c r="C96" s="1">
        <f t="shared" ref="C96:Y96" si="21">SUM(C81:C95)</f>
        <v>0</v>
      </c>
      <c r="D96" s="1">
        <f t="shared" si="21"/>
        <v>7992</v>
      </c>
      <c r="E96" s="1">
        <f t="shared" si="21"/>
        <v>5393</v>
      </c>
      <c r="F96" s="1">
        <f t="shared" si="21"/>
        <v>13385</v>
      </c>
      <c r="G96" s="1">
        <f t="shared" si="21"/>
        <v>0</v>
      </c>
      <c r="H96" s="1">
        <f t="shared" si="21"/>
        <v>18</v>
      </c>
      <c r="I96" s="1">
        <f t="shared" si="21"/>
        <v>34</v>
      </c>
      <c r="J96" s="1">
        <f t="shared" si="21"/>
        <v>0</v>
      </c>
      <c r="K96" s="1">
        <f t="shared" si="21"/>
        <v>7974</v>
      </c>
      <c r="L96" s="1">
        <f t="shared" si="21"/>
        <v>5359</v>
      </c>
      <c r="M96" s="811">
        <f t="shared" si="21"/>
        <v>13333</v>
      </c>
      <c r="N96" s="1">
        <f t="shared" si="21"/>
        <v>49972837.516800001</v>
      </c>
      <c r="P96" s="1">
        <f t="shared" si="21"/>
        <v>45215533.34480001</v>
      </c>
      <c r="Q96" s="1">
        <f t="shared" si="21"/>
        <v>4757304.1719999984</v>
      </c>
      <c r="R96" s="1"/>
      <c r="S96" s="1">
        <f t="shared" si="21"/>
        <v>0</v>
      </c>
      <c r="T96" s="1">
        <f t="shared" si="21"/>
        <v>7328</v>
      </c>
      <c r="U96" s="1">
        <f t="shared" si="21"/>
        <v>5092</v>
      </c>
      <c r="W96" s="1">
        <f t="shared" si="21"/>
        <v>0</v>
      </c>
      <c r="X96" s="1">
        <f t="shared" si="21"/>
        <v>646</v>
      </c>
      <c r="Y96" s="1">
        <f t="shared" si="21"/>
        <v>267</v>
      </c>
      <c r="AC96" s="1">
        <f t="shared" ref="AC96" si="22">SUM(AC81:AC95)</f>
        <v>48493453.169000015</v>
      </c>
    </row>
    <row r="97" spans="1:29" x14ac:dyDescent="0.2">
      <c r="A97" s="1"/>
      <c r="B97" s="1"/>
      <c r="C97" s="1"/>
      <c r="D97" s="1"/>
      <c r="E97" s="1"/>
      <c r="F97" s="1"/>
      <c r="G97" s="1"/>
      <c r="H97" s="1"/>
      <c r="I97" s="1"/>
      <c r="J97" s="1"/>
      <c r="K97" s="1"/>
      <c r="L97" s="1"/>
      <c r="M97" s="811"/>
      <c r="N97" s="1"/>
      <c r="S97" s="11"/>
      <c r="T97" s="11"/>
      <c r="U97" s="11"/>
      <c r="AC97" s="16"/>
    </row>
    <row r="98" spans="1:29" x14ac:dyDescent="0.2">
      <c r="A98" s="9" t="s">
        <v>114</v>
      </c>
      <c r="B98" s="10">
        <v>4177</v>
      </c>
      <c r="C98" s="813">
        <f>19+45/12*7+0+11+45/12*7</f>
        <v>82.5</v>
      </c>
      <c r="D98" s="9">
        <v>385</v>
      </c>
      <c r="E98" s="9">
        <v>277</v>
      </c>
      <c r="F98" s="9">
        <f t="shared" ref="F98" si="23">SUM(C98:E98)</f>
        <v>744.5</v>
      </c>
      <c r="G98" s="9">
        <v>0</v>
      </c>
      <c r="H98" s="808">
        <v>25</v>
      </c>
      <c r="I98" s="808">
        <v>20</v>
      </c>
      <c r="J98" s="9">
        <f t="shared" ref="J98:L98" si="24">C98-G98</f>
        <v>82.5</v>
      </c>
      <c r="K98" s="9">
        <f t="shared" si="24"/>
        <v>360</v>
      </c>
      <c r="L98" s="9">
        <f t="shared" si="24"/>
        <v>257</v>
      </c>
      <c r="M98" s="31">
        <f>SUM(J98:L98)</f>
        <v>699.5</v>
      </c>
      <c r="N98" s="16">
        <f>SUM(J98*$C$1)+SUM(K98*$D$3)+SUM(L98*$E$4)</f>
        <v>2527026.7558500003</v>
      </c>
      <c r="P98" s="11">
        <v>2187125.8393250001</v>
      </c>
      <c r="Q98" s="11">
        <f t="shared" ref="Q98" si="25">N98-P98</f>
        <v>339900.91652500024</v>
      </c>
      <c r="S98" s="30">
        <v>43.75</v>
      </c>
      <c r="T98" s="30">
        <v>306</v>
      </c>
      <c r="U98" s="30">
        <v>262</v>
      </c>
      <c r="W98" s="11">
        <f t="shared" ref="W98:Y98" si="26">J98-S98</f>
        <v>38.75</v>
      </c>
      <c r="X98" s="11">
        <f t="shared" si="26"/>
        <v>54</v>
      </c>
      <c r="Y98" s="11">
        <f t="shared" si="26"/>
        <v>-5</v>
      </c>
      <c r="AC98" s="16">
        <v>2449412.6141499998</v>
      </c>
    </row>
    <row r="99" spans="1:29" x14ac:dyDescent="0.2">
      <c r="A99" s="1"/>
      <c r="B99" s="1"/>
      <c r="C99" s="1"/>
      <c r="D99" s="1"/>
      <c r="E99" s="1"/>
      <c r="F99" s="1"/>
      <c r="G99" s="1"/>
      <c r="H99" s="1"/>
      <c r="I99" s="1"/>
      <c r="J99" s="1"/>
      <c r="K99" s="1"/>
      <c r="L99" s="1"/>
      <c r="M99" s="811"/>
      <c r="N99" s="1"/>
      <c r="AC99" s="16"/>
    </row>
    <row r="100" spans="1:29" x14ac:dyDescent="0.2">
      <c r="A100" s="1" t="s">
        <v>914</v>
      </c>
      <c r="B100" s="1" t="s">
        <v>915</v>
      </c>
      <c r="C100" s="1">
        <f>C98</f>
        <v>82.5</v>
      </c>
      <c r="D100" s="1">
        <f t="shared" ref="D100:Y100" si="27">D98</f>
        <v>385</v>
      </c>
      <c r="E100" s="1">
        <f t="shared" si="27"/>
        <v>277</v>
      </c>
      <c r="F100" s="1">
        <f t="shared" si="27"/>
        <v>744.5</v>
      </c>
      <c r="G100" s="1">
        <f t="shared" si="27"/>
        <v>0</v>
      </c>
      <c r="H100" s="1">
        <f t="shared" si="27"/>
        <v>25</v>
      </c>
      <c r="I100" s="1">
        <f t="shared" si="27"/>
        <v>20</v>
      </c>
      <c r="J100" s="1">
        <f t="shared" si="27"/>
        <v>82.5</v>
      </c>
      <c r="K100" s="1">
        <f t="shared" si="27"/>
        <v>360</v>
      </c>
      <c r="L100" s="1">
        <f t="shared" si="27"/>
        <v>257</v>
      </c>
      <c r="M100" s="811">
        <f t="shared" si="27"/>
        <v>699.5</v>
      </c>
      <c r="N100" s="1">
        <f t="shared" si="27"/>
        <v>2527026.7558500003</v>
      </c>
      <c r="P100" s="1">
        <f t="shared" si="27"/>
        <v>2187125.8393250001</v>
      </c>
      <c r="Q100" s="1">
        <f t="shared" si="27"/>
        <v>339900.91652500024</v>
      </c>
      <c r="R100" s="1"/>
      <c r="S100" s="1">
        <f t="shared" si="27"/>
        <v>43.75</v>
      </c>
      <c r="T100" s="1">
        <f t="shared" si="27"/>
        <v>306</v>
      </c>
      <c r="U100" s="1">
        <f t="shared" si="27"/>
        <v>262</v>
      </c>
      <c r="W100" s="1">
        <f t="shared" si="27"/>
        <v>38.75</v>
      </c>
      <c r="X100" s="1">
        <f t="shared" si="27"/>
        <v>54</v>
      </c>
      <c r="Y100" s="1">
        <f t="shared" si="27"/>
        <v>-5</v>
      </c>
      <c r="AC100" s="1">
        <f t="shared" ref="AC100" si="28">AC98</f>
        <v>2449412.6141499998</v>
      </c>
    </row>
    <row r="101" spans="1:29" x14ac:dyDescent="0.2">
      <c r="A101" s="1"/>
      <c r="B101" s="10"/>
      <c r="C101" s="9"/>
      <c r="D101" s="9"/>
      <c r="E101" s="9"/>
      <c r="F101" s="9"/>
      <c r="G101" s="9"/>
      <c r="H101" s="9"/>
      <c r="I101" s="9"/>
      <c r="J101" s="9"/>
      <c r="K101" s="9"/>
      <c r="L101" s="9"/>
      <c r="M101" s="31"/>
      <c r="N101" s="16"/>
      <c r="AC101" s="16"/>
    </row>
    <row r="102" spans="1:29" x14ac:dyDescent="0.2">
      <c r="A102" s="1" t="s">
        <v>116</v>
      </c>
      <c r="B102" s="1" t="s">
        <v>117</v>
      </c>
      <c r="C102" s="1">
        <f>SUM(C96,C79+C100)</f>
        <v>22107.5</v>
      </c>
      <c r="D102" s="1">
        <f t="shared" ref="D102:M102" si="29">SUM(D96,D79+D100)</f>
        <v>8377</v>
      </c>
      <c r="E102" s="1">
        <f t="shared" si="29"/>
        <v>5670</v>
      </c>
      <c r="F102" s="1">
        <f t="shared" si="29"/>
        <v>36154.5</v>
      </c>
      <c r="G102" s="1">
        <f t="shared" si="29"/>
        <v>140</v>
      </c>
      <c r="H102" s="1">
        <f t="shared" si="29"/>
        <v>43</v>
      </c>
      <c r="I102" s="1">
        <f t="shared" si="29"/>
        <v>54</v>
      </c>
      <c r="J102" s="1">
        <f>SUM(J96,J79+J100)</f>
        <v>21967.5</v>
      </c>
      <c r="K102" s="1">
        <f t="shared" si="29"/>
        <v>8334</v>
      </c>
      <c r="L102" s="1">
        <f t="shared" si="29"/>
        <v>5616</v>
      </c>
      <c r="M102" s="811">
        <f t="shared" si="29"/>
        <v>35917.5</v>
      </c>
      <c r="N102" s="1">
        <f>SUM(N96,N79+N100)</f>
        <v>108372744.17714998</v>
      </c>
      <c r="O102" s="11" t="s">
        <v>916</v>
      </c>
      <c r="S102" s="1">
        <f t="shared" ref="S102:Y102" si="30">SUM(S96,S79+S100)</f>
        <v>21042.75</v>
      </c>
      <c r="T102" s="1">
        <f t="shared" si="30"/>
        <v>7634</v>
      </c>
      <c r="U102" s="1">
        <f t="shared" si="30"/>
        <v>5354</v>
      </c>
      <c r="W102" s="1">
        <f t="shared" si="30"/>
        <v>924.75</v>
      </c>
      <c r="X102" s="1">
        <f t="shared" si="30"/>
        <v>700</v>
      </c>
      <c r="Y102" s="1">
        <f t="shared" si="30"/>
        <v>262</v>
      </c>
      <c r="AC102" s="1">
        <f t="shared" ref="AC102" si="31">SUM(AC96,AC79+AC100)</f>
        <v>104387460.49665003</v>
      </c>
    </row>
    <row r="103" spans="1:29" x14ac:dyDescent="0.2">
      <c r="B103" s="2" t="s">
        <v>917</v>
      </c>
      <c r="C103" s="11">
        <f>C102-C98+30</f>
        <v>22055</v>
      </c>
      <c r="D103" s="11">
        <f>D102</f>
        <v>8377</v>
      </c>
      <c r="E103" s="11">
        <f>E102</f>
        <v>5670</v>
      </c>
      <c r="F103" s="11">
        <f>F102-C98+30</f>
        <v>36102</v>
      </c>
      <c r="M103" s="11"/>
      <c r="N103" s="14">
        <f>N102-N93-N77-N21</f>
        <v>106718386.11554998</v>
      </c>
      <c r="S103" s="11"/>
      <c r="T103" s="11"/>
      <c r="U103" s="11"/>
    </row>
    <row r="104" spans="1:29" x14ac:dyDescent="0.2">
      <c r="A104" s="11">
        <f>7*60</f>
        <v>420</v>
      </c>
      <c r="C104" s="11">
        <f>C102-C98-C77-C69-C66-C44-C35-C18-C16+19+11</f>
        <v>20240</v>
      </c>
      <c r="D104" s="11">
        <f>D82+D83+D85+D87+D88+D98</f>
        <v>3503</v>
      </c>
      <c r="E104" s="11">
        <f>E82+E83+E85+E87+E88+E98</f>
        <v>2309</v>
      </c>
      <c r="J104" s="11">
        <f>J102</f>
        <v>21967.5</v>
      </c>
      <c r="K104" s="11">
        <f>K102</f>
        <v>8334</v>
      </c>
      <c r="L104" s="11">
        <f>L102</f>
        <v>5616</v>
      </c>
      <c r="M104" s="21">
        <f>M102</f>
        <v>35917.5</v>
      </c>
    </row>
    <row r="105" spans="1:29" x14ac:dyDescent="0.2">
      <c r="A105" s="9"/>
    </row>
    <row r="106" spans="1:29" x14ac:dyDescent="0.2">
      <c r="A106" s="1"/>
      <c r="B106" s="2" t="s">
        <v>918</v>
      </c>
      <c r="C106" s="11">
        <v>-70</v>
      </c>
      <c r="D106" s="11">
        <v>0</v>
      </c>
      <c r="E106" s="11">
        <v>0</v>
      </c>
      <c r="F106" s="11">
        <v>-70</v>
      </c>
    </row>
    <row r="107" spans="1:29" x14ac:dyDescent="0.2">
      <c r="A107" s="1"/>
    </row>
    <row r="109" spans="1:29" x14ac:dyDescent="0.2">
      <c r="A109" s="814" t="s">
        <v>919</v>
      </c>
      <c r="B109" s="815"/>
      <c r="C109" s="814">
        <v>21169.75</v>
      </c>
      <c r="D109" s="814">
        <v>7667</v>
      </c>
      <c r="E109" s="814">
        <v>5416</v>
      </c>
      <c r="F109" s="814">
        <v>34209</v>
      </c>
      <c r="G109" s="814">
        <v>127</v>
      </c>
      <c r="H109" s="814">
        <v>33</v>
      </c>
      <c r="I109" s="814">
        <v>62</v>
      </c>
      <c r="J109" s="814">
        <v>21042.75</v>
      </c>
      <c r="K109" s="814">
        <v>7634</v>
      </c>
      <c r="L109" s="814">
        <v>5354</v>
      </c>
      <c r="M109" s="816">
        <v>34030.75</v>
      </c>
      <c r="N109" s="11"/>
    </row>
    <row r="110" spans="1:29" x14ac:dyDescent="0.2">
      <c r="A110" s="11" t="s">
        <v>920</v>
      </c>
      <c r="B110" s="2">
        <v>2015</v>
      </c>
      <c r="C110" s="11">
        <f>C7+C16+C18+C35+C44+C66+C69+C81+C84+C86+C89+C90+C91+C92</f>
        <v>1944</v>
      </c>
      <c r="D110" s="11">
        <f t="shared" ref="D110:M110" si="32">D7+D16+D18+D35+D44+D66+D69+D81+D84+D86+D89+D90+D91+D92</f>
        <v>4367</v>
      </c>
      <c r="E110" s="11">
        <f t="shared" si="32"/>
        <v>3024</v>
      </c>
      <c r="F110" s="11">
        <f t="shared" si="32"/>
        <v>9335</v>
      </c>
      <c r="G110" s="11">
        <f t="shared" si="32"/>
        <v>0</v>
      </c>
      <c r="H110" s="11">
        <f t="shared" si="32"/>
        <v>18</v>
      </c>
      <c r="I110" s="11">
        <f t="shared" si="32"/>
        <v>34</v>
      </c>
      <c r="J110" s="11">
        <f t="shared" si="32"/>
        <v>1944</v>
      </c>
      <c r="K110" s="11">
        <f t="shared" si="32"/>
        <v>4349</v>
      </c>
      <c r="L110" s="11">
        <f t="shared" si="32"/>
        <v>2990</v>
      </c>
      <c r="M110" s="11">
        <f t="shared" si="32"/>
        <v>9283</v>
      </c>
    </row>
    <row r="111" spans="1:29" x14ac:dyDescent="0.2">
      <c r="A111" s="11" t="s">
        <v>921</v>
      </c>
      <c r="B111" s="2">
        <v>2015</v>
      </c>
      <c r="C111" s="11">
        <f>C94+C77</f>
        <v>229</v>
      </c>
      <c r="D111" s="11">
        <f t="shared" ref="D111:M111" si="33">D94+D77</f>
        <v>507</v>
      </c>
      <c r="E111" s="11">
        <f t="shared" si="33"/>
        <v>337</v>
      </c>
      <c r="F111" s="11">
        <f t="shared" si="33"/>
        <v>1073</v>
      </c>
      <c r="G111" s="11">
        <f t="shared" si="33"/>
        <v>0</v>
      </c>
      <c r="H111" s="11">
        <f t="shared" si="33"/>
        <v>0</v>
      </c>
      <c r="I111" s="11">
        <f t="shared" si="33"/>
        <v>0</v>
      </c>
      <c r="J111" s="11">
        <f t="shared" si="33"/>
        <v>229</v>
      </c>
      <c r="K111" s="11">
        <f t="shared" si="33"/>
        <v>507</v>
      </c>
      <c r="L111" s="11">
        <f t="shared" si="33"/>
        <v>337</v>
      </c>
      <c r="M111" s="11">
        <f t="shared" si="33"/>
        <v>1073</v>
      </c>
    </row>
    <row r="112" spans="1:29" x14ac:dyDescent="0.2">
      <c r="A112" s="11" t="s">
        <v>655</v>
      </c>
      <c r="B112" s="2">
        <v>2015</v>
      </c>
      <c r="C112" s="11">
        <f>C102-C111-C110</f>
        <v>19934.5</v>
      </c>
      <c r="D112" s="11">
        <f t="shared" ref="D112:M112" si="34">D102-D111-D110</f>
        <v>3503</v>
      </c>
      <c r="E112" s="11">
        <f t="shared" si="34"/>
        <v>2309</v>
      </c>
      <c r="F112" s="11">
        <f t="shared" si="34"/>
        <v>25746.5</v>
      </c>
      <c r="G112" s="11">
        <f t="shared" si="34"/>
        <v>140</v>
      </c>
      <c r="H112" s="11">
        <f t="shared" si="34"/>
        <v>25</v>
      </c>
      <c r="I112" s="11">
        <f t="shared" si="34"/>
        <v>20</v>
      </c>
      <c r="J112" s="11">
        <f t="shared" si="34"/>
        <v>19794.5</v>
      </c>
      <c r="K112" s="11">
        <f t="shared" si="34"/>
        <v>3478</v>
      </c>
      <c r="L112" s="11">
        <f t="shared" si="34"/>
        <v>2289</v>
      </c>
      <c r="M112" s="11">
        <f t="shared" si="34"/>
        <v>25561.5</v>
      </c>
    </row>
    <row r="113" spans="1:30" x14ac:dyDescent="0.2">
      <c r="AD113" s="11"/>
    </row>
    <row r="114" spans="1:30" x14ac:dyDescent="0.2">
      <c r="A114" s="30"/>
      <c r="B114" s="30"/>
      <c r="C114" s="1333">
        <f>C1</f>
        <v>2553.0217000000002</v>
      </c>
      <c r="D114" s="1333"/>
      <c r="G114" s="30"/>
      <c r="H114" s="30"/>
      <c r="I114" s="30"/>
      <c r="J114" s="30"/>
      <c r="K114" s="30"/>
      <c r="L114" s="30"/>
      <c r="M114" s="30"/>
      <c r="N114" s="30"/>
      <c r="AD114" s="11"/>
    </row>
    <row r="115" spans="1:30" x14ac:dyDescent="0.2">
      <c r="AD115" s="11"/>
    </row>
    <row r="116" spans="1:30" x14ac:dyDescent="0.2">
      <c r="A116" s="30"/>
      <c r="B116" s="30"/>
      <c r="D116" s="1333">
        <f>D3</f>
        <v>3576.1624000000002</v>
      </c>
      <c r="E116" s="1333"/>
      <c r="G116" s="30"/>
      <c r="H116" s="30"/>
      <c r="I116" s="30"/>
      <c r="J116" s="30"/>
      <c r="K116" s="30"/>
      <c r="L116" s="30"/>
      <c r="M116" s="30"/>
      <c r="N116" s="30" t="s">
        <v>922</v>
      </c>
      <c r="O116" s="11" t="s">
        <v>128</v>
      </c>
      <c r="P116" s="11" t="s">
        <v>923</v>
      </c>
      <c r="AA116" s="30" t="s">
        <v>924</v>
      </c>
      <c r="AB116" s="30" t="s">
        <v>179</v>
      </c>
      <c r="AD116" s="11">
        <v>2600000</v>
      </c>
    </row>
    <row r="117" spans="1:30" x14ac:dyDescent="0.2">
      <c r="A117" s="30"/>
      <c r="B117" s="30"/>
      <c r="E117" s="1333">
        <f>E4</f>
        <v>4003.8288000000002</v>
      </c>
      <c r="F117" s="1333"/>
      <c r="G117" s="30"/>
      <c r="H117" s="30"/>
      <c r="I117" s="30"/>
      <c r="J117" s="30"/>
      <c r="K117" s="30"/>
      <c r="L117" s="30"/>
      <c r="M117" s="30"/>
      <c r="N117" s="11">
        <f>'2015-16 FORMULA'!C137</f>
        <v>3985283.6804999709</v>
      </c>
      <c r="O117" s="11">
        <f>'2015-16 FORMULA'!N137</f>
        <v>-1573204.5901206718</v>
      </c>
      <c r="P117" s="11">
        <f>O117+N117</f>
        <v>2412079.0903792991</v>
      </c>
      <c r="AA117" s="817">
        <f>AB117/AB119</f>
        <v>0.9277232748175438</v>
      </c>
      <c r="AB117" s="11">
        <v>145631191.14349353</v>
      </c>
      <c r="AC117" s="30" t="s">
        <v>925</v>
      </c>
      <c r="AD117" s="11">
        <f>AD116*AA117</f>
        <v>2412080.5145256137</v>
      </c>
    </row>
    <row r="118" spans="1:30" x14ac:dyDescent="0.2">
      <c r="P118" s="11">
        <f>AD117</f>
        <v>2412080.5145256137</v>
      </c>
      <c r="AA118" s="817">
        <f>AB118/AB119</f>
        <v>7.2276725182456161E-2</v>
      </c>
      <c r="AB118" s="11">
        <f>11673094.5126414-327313</f>
        <v>11345781.5126414</v>
      </c>
      <c r="AC118" s="30" t="s">
        <v>926</v>
      </c>
      <c r="AD118" s="11">
        <f>AD116*AA118</f>
        <v>187919.48547438602</v>
      </c>
    </row>
    <row r="119" spans="1:30" x14ac:dyDescent="0.2">
      <c r="P119" s="11">
        <f>P118-P117</f>
        <v>1.4241463146172464</v>
      </c>
      <c r="AA119" s="817">
        <f>SUM(AA117:AA118)</f>
        <v>1</v>
      </c>
      <c r="AB119" s="11">
        <f>AB117+AB118</f>
        <v>156976972.65613493</v>
      </c>
      <c r="AD119" s="11"/>
    </row>
    <row r="120" spans="1:30" x14ac:dyDescent="0.2">
      <c r="P120" s="818">
        <f>P119/M102</f>
        <v>3.9650485546523183E-5</v>
      </c>
      <c r="AB120" s="11"/>
      <c r="AD120" s="11"/>
    </row>
    <row r="121" spans="1:30" x14ac:dyDescent="0.2">
      <c r="P121" s="11">
        <v>9.0779961129139499E-5</v>
      </c>
      <c r="AD121" s="11"/>
    </row>
    <row r="128" spans="1:30" x14ac:dyDescent="0.2">
      <c r="A128" s="79" t="s">
        <v>249</v>
      </c>
      <c r="B128" s="79">
        <v>206189</v>
      </c>
    </row>
    <row r="129" spans="1:2" x14ac:dyDescent="0.2">
      <c r="A129" s="1158" t="s">
        <v>10</v>
      </c>
      <c r="B129" s="94">
        <v>2012</v>
      </c>
    </row>
    <row r="130" spans="1:2" x14ac:dyDescent="0.2">
      <c r="A130" s="1158" t="s">
        <v>73</v>
      </c>
      <c r="B130" s="94">
        <v>5414</v>
      </c>
    </row>
    <row r="131" spans="1:2" x14ac:dyDescent="0.2">
      <c r="A131" s="1158" t="s">
        <v>912</v>
      </c>
      <c r="B131" s="94">
        <v>4000</v>
      </c>
    </row>
    <row r="132" spans="1:2" x14ac:dyDescent="0.2">
      <c r="A132" s="79" t="s">
        <v>11</v>
      </c>
      <c r="B132" s="79">
        <v>2443</v>
      </c>
    </row>
    <row r="133" spans="1:2" x14ac:dyDescent="0.2">
      <c r="A133" s="1158" t="s">
        <v>94</v>
      </c>
      <c r="B133" s="94">
        <v>2442</v>
      </c>
    </row>
    <row r="134" spans="1:2" x14ac:dyDescent="0.2">
      <c r="A134" s="80" t="s">
        <v>252</v>
      </c>
      <c r="B134" s="80" t="s">
        <v>253</v>
      </c>
    </row>
    <row r="135" spans="1:2" x14ac:dyDescent="0.2">
      <c r="A135" s="79" t="s">
        <v>13</v>
      </c>
      <c r="B135" s="79">
        <v>2629</v>
      </c>
    </row>
    <row r="136" spans="1:2" x14ac:dyDescent="0.2">
      <c r="A136" s="1158" t="s">
        <v>14</v>
      </c>
      <c r="B136" s="94">
        <v>2509</v>
      </c>
    </row>
    <row r="137" spans="1:2" x14ac:dyDescent="0.2">
      <c r="A137" s="79" t="s">
        <v>2</v>
      </c>
      <c r="B137" s="79">
        <v>1014</v>
      </c>
    </row>
    <row r="138" spans="1:2" x14ac:dyDescent="0.2">
      <c r="A138" s="1158" t="s">
        <v>15</v>
      </c>
      <c r="B138" s="94">
        <v>2005</v>
      </c>
    </row>
    <row r="139" spans="1:2" x14ac:dyDescent="0.2">
      <c r="A139" s="79" t="s">
        <v>16</v>
      </c>
      <c r="B139" s="79">
        <v>2464</v>
      </c>
    </row>
    <row r="140" spans="1:2" x14ac:dyDescent="0.2">
      <c r="A140" s="661" t="s">
        <v>763</v>
      </c>
      <c r="B140" s="697" t="s">
        <v>765</v>
      </c>
    </row>
    <row r="141" spans="1:2" x14ac:dyDescent="0.2">
      <c r="A141" s="79" t="s">
        <v>17</v>
      </c>
      <c r="B141" s="79">
        <v>2004</v>
      </c>
    </row>
    <row r="142" spans="1:2" x14ac:dyDescent="0.2">
      <c r="A142" s="79" t="s">
        <v>18</v>
      </c>
      <c r="B142" s="79">
        <v>2405</v>
      </c>
    </row>
    <row r="143" spans="1:2" x14ac:dyDescent="0.2">
      <c r="A143" s="79" t="s">
        <v>254</v>
      </c>
      <c r="B143" s="79" t="s">
        <v>256</v>
      </c>
    </row>
    <row r="144" spans="1:2" ht="15" x14ac:dyDescent="0.25">
      <c r="A144" s="1160" t="s">
        <v>261</v>
      </c>
      <c r="B144" s="1162" t="s">
        <v>766</v>
      </c>
    </row>
    <row r="145" spans="1:2" x14ac:dyDescent="0.2">
      <c r="A145" s="1163" t="s">
        <v>257</v>
      </c>
      <c r="B145" s="1164" t="s">
        <v>258</v>
      </c>
    </row>
    <row r="146" spans="1:2" x14ac:dyDescent="0.2">
      <c r="A146" s="1160" t="s">
        <v>259</v>
      </c>
      <c r="B146" s="1165" t="s">
        <v>260</v>
      </c>
    </row>
    <row r="147" spans="1:2" x14ac:dyDescent="0.2">
      <c r="A147" s="79" t="s">
        <v>19</v>
      </c>
      <c r="B147" s="79">
        <v>2011</v>
      </c>
    </row>
    <row r="148" spans="1:2" x14ac:dyDescent="0.2">
      <c r="A148" s="80" t="s">
        <v>262</v>
      </c>
      <c r="B148" s="80" t="s">
        <v>263</v>
      </c>
    </row>
    <row r="149" spans="1:2" x14ac:dyDescent="0.2">
      <c r="A149" s="79" t="s">
        <v>20</v>
      </c>
      <c r="B149" s="79">
        <v>5201</v>
      </c>
    </row>
    <row r="150" spans="1:2" x14ac:dyDescent="0.2">
      <c r="A150" s="79" t="s">
        <v>264</v>
      </c>
      <c r="B150" s="79">
        <v>206124</v>
      </c>
    </row>
    <row r="151" spans="1:2" x14ac:dyDescent="0.2">
      <c r="A151" s="79" t="s">
        <v>21</v>
      </c>
      <c r="B151" s="79">
        <v>2433</v>
      </c>
    </row>
    <row r="152" spans="1:2" x14ac:dyDescent="0.2">
      <c r="A152" s="1158" t="s">
        <v>22</v>
      </c>
      <c r="B152" s="94">
        <v>2432</v>
      </c>
    </row>
    <row r="153" spans="1:2" x14ac:dyDescent="0.2">
      <c r="A153" s="79" t="s">
        <v>267</v>
      </c>
      <c r="B153" s="79" t="s">
        <v>269</v>
      </c>
    </row>
    <row r="154" spans="1:2" x14ac:dyDescent="0.2">
      <c r="A154" s="79" t="s">
        <v>199</v>
      </c>
      <c r="B154" s="79">
        <v>2447</v>
      </c>
    </row>
    <row r="155" spans="1:2" x14ac:dyDescent="0.2">
      <c r="A155" s="79" t="s">
        <v>23</v>
      </c>
      <c r="B155" s="79">
        <v>2512</v>
      </c>
    </row>
    <row r="156" spans="1:2" x14ac:dyDescent="0.2">
      <c r="A156" s="79" t="s">
        <v>270</v>
      </c>
      <c r="B156" s="79">
        <v>206126</v>
      </c>
    </row>
    <row r="157" spans="1:2" x14ac:dyDescent="0.2">
      <c r="A157" s="79" t="s">
        <v>272</v>
      </c>
      <c r="B157" s="79">
        <v>206111</v>
      </c>
    </row>
    <row r="158" spans="1:2" x14ac:dyDescent="0.2">
      <c r="A158" s="79" t="s">
        <v>274</v>
      </c>
      <c r="B158" s="79">
        <v>206091</v>
      </c>
    </row>
    <row r="159" spans="1:2" x14ac:dyDescent="0.2">
      <c r="A159" s="79" t="s">
        <v>24</v>
      </c>
      <c r="B159" s="79">
        <v>2456</v>
      </c>
    </row>
    <row r="160" spans="1:2" x14ac:dyDescent="0.2">
      <c r="A160" s="79" t="s">
        <v>3</v>
      </c>
      <c r="B160" s="79">
        <v>1017</v>
      </c>
    </row>
    <row r="161" spans="1:2" x14ac:dyDescent="0.2">
      <c r="A161" s="79" t="s">
        <v>25</v>
      </c>
      <c r="B161" s="79">
        <v>2449</v>
      </c>
    </row>
    <row r="162" spans="1:2" x14ac:dyDescent="0.2">
      <c r="A162" s="1158" t="s">
        <v>26</v>
      </c>
      <c r="B162" s="79">
        <v>2448</v>
      </c>
    </row>
    <row r="163" spans="1:2" x14ac:dyDescent="0.2">
      <c r="A163" s="79" t="s">
        <v>4</v>
      </c>
      <c r="B163" s="79">
        <v>1006</v>
      </c>
    </row>
    <row r="164" spans="1:2" x14ac:dyDescent="0.2">
      <c r="A164" s="79" t="s">
        <v>27</v>
      </c>
      <c r="B164" s="79">
        <v>2467</v>
      </c>
    </row>
    <row r="165" spans="1:2" x14ac:dyDescent="0.2">
      <c r="A165" s="1158" t="s">
        <v>75</v>
      </c>
      <c r="B165" s="94">
        <v>5402</v>
      </c>
    </row>
    <row r="166" spans="1:2" x14ac:dyDescent="0.2">
      <c r="A166" s="1158" t="s">
        <v>28</v>
      </c>
      <c r="B166" s="94">
        <v>2455</v>
      </c>
    </row>
    <row r="167" spans="1:2" x14ac:dyDescent="0.2">
      <c r="A167" s="1158" t="s">
        <v>29</v>
      </c>
      <c r="B167" s="94">
        <v>5203</v>
      </c>
    </row>
    <row r="168" spans="1:2" x14ac:dyDescent="0.2">
      <c r="A168" s="107" t="s">
        <v>30</v>
      </c>
      <c r="B168" s="79">
        <v>2451</v>
      </c>
    </row>
    <row r="169" spans="1:2" x14ac:dyDescent="0.2">
      <c r="A169" s="80" t="s">
        <v>276</v>
      </c>
      <c r="B169" s="80" t="s">
        <v>277</v>
      </c>
    </row>
    <row r="170" spans="1:2" x14ac:dyDescent="0.2">
      <c r="A170" s="79" t="s">
        <v>278</v>
      </c>
      <c r="B170" s="79">
        <v>206128</v>
      </c>
    </row>
    <row r="171" spans="1:2" x14ac:dyDescent="0.2">
      <c r="A171" s="1158" t="s">
        <v>452</v>
      </c>
      <c r="B171" s="94">
        <v>4002</v>
      </c>
    </row>
    <row r="172" spans="1:2" x14ac:dyDescent="0.2">
      <c r="A172" s="456" t="s">
        <v>455</v>
      </c>
      <c r="B172" s="79">
        <v>2430</v>
      </c>
    </row>
    <row r="173" spans="1:2" x14ac:dyDescent="0.2">
      <c r="A173" s="1167" t="s">
        <v>768</v>
      </c>
      <c r="B173" s="1169" t="s">
        <v>769</v>
      </c>
    </row>
    <row r="174" spans="1:2" x14ac:dyDescent="0.2">
      <c r="A174" s="1158" t="s">
        <v>68</v>
      </c>
      <c r="B174" s="94">
        <v>4608</v>
      </c>
    </row>
    <row r="175" spans="1:2" x14ac:dyDescent="0.2">
      <c r="A175" s="1158" t="s">
        <v>31</v>
      </c>
      <c r="B175" s="94">
        <v>2409</v>
      </c>
    </row>
    <row r="176" spans="1:2" x14ac:dyDescent="0.2">
      <c r="A176" s="1170" t="s">
        <v>281</v>
      </c>
      <c r="B176" s="1168" t="s">
        <v>282</v>
      </c>
    </row>
    <row r="177" spans="1:2" x14ac:dyDescent="0.2">
      <c r="A177" s="1171" t="s">
        <v>1401</v>
      </c>
      <c r="B177" s="1173" t="s">
        <v>771</v>
      </c>
    </row>
    <row r="178" spans="1:2" x14ac:dyDescent="0.2">
      <c r="A178" s="1174" t="s">
        <v>539</v>
      </c>
      <c r="B178" s="96">
        <v>205921</v>
      </c>
    </row>
    <row r="179" spans="1:2" x14ac:dyDescent="0.2">
      <c r="A179" s="1171" t="s">
        <v>1372</v>
      </c>
      <c r="B179" s="1154" t="s">
        <v>776</v>
      </c>
    </row>
    <row r="180" spans="1:2" x14ac:dyDescent="0.2">
      <c r="A180" s="1174" t="s">
        <v>538</v>
      </c>
      <c r="B180" s="96">
        <v>205999</v>
      </c>
    </row>
    <row r="181" spans="1:2" x14ac:dyDescent="0.2">
      <c r="A181" s="96" t="s">
        <v>537</v>
      </c>
      <c r="B181" s="95" t="s">
        <v>283</v>
      </c>
    </row>
    <row r="182" spans="1:2" x14ac:dyDescent="0.2">
      <c r="A182" s="1171" t="s">
        <v>1373</v>
      </c>
      <c r="B182" s="1153">
        <v>206065</v>
      </c>
    </row>
    <row r="183" spans="1:2" x14ac:dyDescent="0.2">
      <c r="A183" s="1175" t="s">
        <v>1375</v>
      </c>
      <c r="B183" s="1154" t="s">
        <v>787</v>
      </c>
    </row>
    <row r="184" spans="1:2" x14ac:dyDescent="0.2">
      <c r="A184" s="456" t="s">
        <v>589</v>
      </c>
      <c r="B184" s="1176" t="s">
        <v>288</v>
      </c>
    </row>
    <row r="185" spans="1:2" x14ac:dyDescent="0.2">
      <c r="A185" s="1177" t="s">
        <v>540</v>
      </c>
      <c r="B185" s="96">
        <v>205922</v>
      </c>
    </row>
    <row r="186" spans="1:2" x14ac:dyDescent="0.2">
      <c r="A186" s="456" t="s">
        <v>587</v>
      </c>
      <c r="B186" s="1154" t="s">
        <v>784</v>
      </c>
    </row>
    <row r="187" spans="1:2" x14ac:dyDescent="0.2">
      <c r="A187" s="1171" t="s">
        <v>1374</v>
      </c>
      <c r="B187" s="1154" t="s">
        <v>781</v>
      </c>
    </row>
    <row r="188" spans="1:2" x14ac:dyDescent="0.2">
      <c r="A188" s="1171" t="s">
        <v>1376</v>
      </c>
      <c r="B188" s="1178">
        <v>205919</v>
      </c>
    </row>
    <row r="189" spans="1:2" x14ac:dyDescent="0.2">
      <c r="A189" s="96" t="s">
        <v>541</v>
      </c>
      <c r="B189" s="95" t="s">
        <v>287</v>
      </c>
    </row>
    <row r="190" spans="1:2" x14ac:dyDescent="0.2">
      <c r="A190" s="1171" t="s">
        <v>1377</v>
      </c>
      <c r="B190" s="1179" t="s">
        <v>791</v>
      </c>
    </row>
    <row r="191" spans="1:2" x14ac:dyDescent="0.2">
      <c r="A191" s="1171" t="s">
        <v>1378</v>
      </c>
      <c r="B191" s="1169" t="s">
        <v>793</v>
      </c>
    </row>
    <row r="192" spans="1:2" x14ac:dyDescent="0.2">
      <c r="A192" s="1180" t="s">
        <v>1380</v>
      </c>
      <c r="B192" s="1154" t="s">
        <v>796</v>
      </c>
    </row>
    <row r="193" spans="1:2" x14ac:dyDescent="0.2">
      <c r="A193" s="1181" t="s">
        <v>1379</v>
      </c>
      <c r="B193" s="697">
        <v>205849</v>
      </c>
    </row>
    <row r="194" spans="1:2" x14ac:dyDescent="0.2">
      <c r="A194" s="456" t="s">
        <v>594</v>
      </c>
      <c r="B194" s="1176" t="s">
        <v>284</v>
      </c>
    </row>
    <row r="195" spans="1:2" x14ac:dyDescent="0.2">
      <c r="A195" s="1182" t="s">
        <v>1381</v>
      </c>
      <c r="B195" s="1154" t="s">
        <v>798</v>
      </c>
    </row>
    <row r="196" spans="1:2" x14ac:dyDescent="0.2">
      <c r="A196" s="1183" t="s">
        <v>1385</v>
      </c>
      <c r="B196" s="1184">
        <v>205922</v>
      </c>
    </row>
    <row r="197" spans="1:2" x14ac:dyDescent="0.2">
      <c r="A197" s="1185" t="s">
        <v>1384</v>
      </c>
      <c r="B197" s="1179">
        <v>205881</v>
      </c>
    </row>
    <row r="198" spans="1:2" x14ac:dyDescent="0.2">
      <c r="A198" s="1186" t="s">
        <v>1382</v>
      </c>
      <c r="B198" s="1187" t="s">
        <v>801</v>
      </c>
    </row>
    <row r="199" spans="1:2" x14ac:dyDescent="0.2">
      <c r="A199" s="1174" t="s">
        <v>542</v>
      </c>
      <c r="B199" s="96" t="s">
        <v>289</v>
      </c>
    </row>
    <row r="200" spans="1:2" x14ac:dyDescent="0.2">
      <c r="A200" s="1171" t="s">
        <v>1383</v>
      </c>
      <c r="B200" s="1179" t="s">
        <v>806</v>
      </c>
    </row>
    <row r="201" spans="1:2" x14ac:dyDescent="0.2">
      <c r="A201" s="1185" t="s">
        <v>807</v>
      </c>
      <c r="B201" s="1179" t="s">
        <v>808</v>
      </c>
    </row>
    <row r="202" spans="1:2" x14ac:dyDescent="0.2">
      <c r="A202" s="1185" t="s">
        <v>1386</v>
      </c>
      <c r="B202" s="1189" t="s">
        <v>811</v>
      </c>
    </row>
    <row r="203" spans="1:2" x14ac:dyDescent="0.2">
      <c r="A203" s="1181" t="s">
        <v>543</v>
      </c>
      <c r="B203" s="96">
        <v>2</v>
      </c>
    </row>
    <row r="204" spans="1:2" x14ac:dyDescent="0.2">
      <c r="A204" s="1192" t="s">
        <v>1387</v>
      </c>
      <c r="B204" s="1150" t="s">
        <v>668</v>
      </c>
    </row>
    <row r="205" spans="1:2" x14ac:dyDescent="0.2">
      <c r="A205" s="693" t="s">
        <v>1388</v>
      </c>
      <c r="B205" s="1179" t="s">
        <v>686</v>
      </c>
    </row>
    <row r="206" spans="1:2" x14ac:dyDescent="0.2">
      <c r="A206" s="96" t="s">
        <v>544</v>
      </c>
      <c r="B206" s="1184">
        <v>205956</v>
      </c>
    </row>
    <row r="207" spans="1:2" x14ac:dyDescent="0.2">
      <c r="A207" s="702" t="s">
        <v>1389</v>
      </c>
      <c r="B207" s="1169">
        <v>260849</v>
      </c>
    </row>
    <row r="208" spans="1:2" x14ac:dyDescent="0.2">
      <c r="A208" s="693" t="s">
        <v>1390</v>
      </c>
      <c r="B208" s="1169" t="s">
        <v>818</v>
      </c>
    </row>
    <row r="209" spans="1:2" x14ac:dyDescent="0.2">
      <c r="A209" s="1193" t="s">
        <v>1391</v>
      </c>
      <c r="B209" s="1165" t="s">
        <v>291</v>
      </c>
    </row>
    <row r="210" spans="1:2" x14ac:dyDescent="0.2">
      <c r="A210" s="1145" t="s">
        <v>1392</v>
      </c>
      <c r="B210" s="1154" t="s">
        <v>821</v>
      </c>
    </row>
    <row r="211" spans="1:2" x14ac:dyDescent="0.2">
      <c r="A211" s="1142" t="s">
        <v>1394</v>
      </c>
      <c r="B211" s="1154" t="s">
        <v>825</v>
      </c>
    </row>
    <row r="212" spans="1:2" x14ac:dyDescent="0.2">
      <c r="A212" s="1142" t="s">
        <v>1393</v>
      </c>
      <c r="B212" s="1189" t="s">
        <v>823</v>
      </c>
    </row>
    <row r="213" spans="1:2" x14ac:dyDescent="0.2">
      <c r="A213" s="583" t="s">
        <v>1396</v>
      </c>
      <c r="B213" s="1154" t="s">
        <v>830</v>
      </c>
    </row>
    <row r="214" spans="1:2" x14ac:dyDescent="0.2">
      <c r="A214" s="1143" t="s">
        <v>1395</v>
      </c>
      <c r="B214" s="1154" t="s">
        <v>827</v>
      </c>
    </row>
    <row r="215" spans="1:2" x14ac:dyDescent="0.2">
      <c r="A215" s="1181" t="s">
        <v>591</v>
      </c>
      <c r="B215" s="95" t="s">
        <v>293</v>
      </c>
    </row>
    <row r="216" spans="1:2" x14ac:dyDescent="0.2">
      <c r="A216" s="1142" t="s">
        <v>1402</v>
      </c>
      <c r="B216" s="697" t="s">
        <v>833</v>
      </c>
    </row>
    <row r="217" spans="1:2" x14ac:dyDescent="0.2">
      <c r="A217" s="1142" t="s">
        <v>1403</v>
      </c>
      <c r="B217" s="1154" t="s">
        <v>835</v>
      </c>
    </row>
    <row r="218" spans="1:2" x14ac:dyDescent="0.2">
      <c r="A218" s="1174" t="s">
        <v>547</v>
      </c>
      <c r="B218" s="95" t="s">
        <v>295</v>
      </c>
    </row>
    <row r="219" spans="1:2" x14ac:dyDescent="0.2">
      <c r="A219" s="1148" t="s">
        <v>1397</v>
      </c>
      <c r="B219" s="1154">
        <v>206031</v>
      </c>
    </row>
    <row r="220" spans="1:2" x14ac:dyDescent="0.2">
      <c r="A220" s="1174" t="s">
        <v>546</v>
      </c>
      <c r="B220" s="95" t="s">
        <v>296</v>
      </c>
    </row>
    <row r="221" spans="1:2" x14ac:dyDescent="0.2">
      <c r="A221" s="96" t="s">
        <v>545</v>
      </c>
      <c r="B221" s="95" t="s">
        <v>294</v>
      </c>
    </row>
    <row r="222" spans="1:2" x14ac:dyDescent="0.2">
      <c r="A222" s="1143" t="s">
        <v>1398</v>
      </c>
      <c r="B222" s="1154" t="s">
        <v>840</v>
      </c>
    </row>
    <row r="223" spans="1:2" x14ac:dyDescent="0.2">
      <c r="A223" s="96" t="s">
        <v>1371</v>
      </c>
      <c r="B223" s="95" t="s">
        <v>298</v>
      </c>
    </row>
    <row r="224" spans="1:2" x14ac:dyDescent="0.2">
      <c r="A224" s="1143" t="s">
        <v>1407</v>
      </c>
      <c r="B224" s="1179" t="s">
        <v>844</v>
      </c>
    </row>
    <row r="225" spans="1:2" x14ac:dyDescent="0.2">
      <c r="A225" s="1181" t="s">
        <v>592</v>
      </c>
      <c r="B225" s="1184">
        <v>206043</v>
      </c>
    </row>
    <row r="226" spans="1:2" x14ac:dyDescent="0.2">
      <c r="A226" s="1177" t="s">
        <v>548</v>
      </c>
      <c r="B226" s="95" t="s">
        <v>299</v>
      </c>
    </row>
    <row r="227" spans="1:2" x14ac:dyDescent="0.2">
      <c r="A227" s="1194" t="s">
        <v>590</v>
      </c>
      <c r="B227" s="1195" t="s">
        <v>292</v>
      </c>
    </row>
    <row r="228" spans="1:2" x14ac:dyDescent="0.2">
      <c r="A228" s="1196" t="s">
        <v>593</v>
      </c>
      <c r="B228" s="1197" t="s">
        <v>297</v>
      </c>
    </row>
    <row r="229" spans="1:2" x14ac:dyDescent="0.2">
      <c r="A229" s="1143" t="s">
        <v>1406</v>
      </c>
      <c r="B229" s="1154">
        <v>206067</v>
      </c>
    </row>
    <row r="230" spans="1:2" ht="15" x14ac:dyDescent="0.2">
      <c r="A230" s="1177" t="s">
        <v>549</v>
      </c>
      <c r="B230" s="97" t="s">
        <v>300</v>
      </c>
    </row>
    <row r="231" spans="1:2" x14ac:dyDescent="0.2">
      <c r="A231" s="1190" t="s">
        <v>1400</v>
      </c>
      <c r="B231" s="1191" t="s">
        <v>290</v>
      </c>
    </row>
    <row r="232" spans="1:2" x14ac:dyDescent="0.2">
      <c r="A232" s="1198" t="s">
        <v>550</v>
      </c>
      <c r="B232" s="98" t="s">
        <v>301</v>
      </c>
    </row>
    <row r="233" spans="1:2" x14ac:dyDescent="0.2">
      <c r="A233" s="1147" t="s">
        <v>1404</v>
      </c>
      <c r="B233" s="1209" t="s">
        <v>854</v>
      </c>
    </row>
    <row r="234" spans="1:2" x14ac:dyDescent="0.2">
      <c r="A234" s="456" t="s">
        <v>595</v>
      </c>
      <c r="B234" s="1176" t="s">
        <v>285</v>
      </c>
    </row>
    <row r="235" spans="1:2" x14ac:dyDescent="0.2">
      <c r="A235" s="1147" t="s">
        <v>1405</v>
      </c>
      <c r="B235" s="1209" t="s">
        <v>856</v>
      </c>
    </row>
    <row r="236" spans="1:2" x14ac:dyDescent="0.2">
      <c r="A236" s="87" t="s">
        <v>302</v>
      </c>
      <c r="B236" s="88" t="s">
        <v>303</v>
      </c>
    </row>
    <row r="237" spans="1:2" x14ac:dyDescent="0.2">
      <c r="A237" s="79" t="s">
        <v>304</v>
      </c>
      <c r="B237" s="79" t="s">
        <v>306</v>
      </c>
    </row>
    <row r="238" spans="1:2" x14ac:dyDescent="0.2">
      <c r="A238" s="1144" t="s">
        <v>858</v>
      </c>
      <c r="B238" s="1169" t="s">
        <v>859</v>
      </c>
    </row>
    <row r="239" spans="1:2" x14ac:dyDescent="0.2">
      <c r="A239" s="1158" t="s">
        <v>111</v>
      </c>
      <c r="B239" s="94">
        <v>4178</v>
      </c>
    </row>
    <row r="240" spans="1:2" x14ac:dyDescent="0.2">
      <c r="A240" s="1158" t="s">
        <v>98</v>
      </c>
      <c r="B240" s="94">
        <v>3158</v>
      </c>
    </row>
    <row r="241" spans="1:2" x14ac:dyDescent="0.2">
      <c r="A241" s="79" t="s">
        <v>32</v>
      </c>
      <c r="B241" s="79">
        <v>2619</v>
      </c>
    </row>
    <row r="242" spans="1:2" x14ac:dyDescent="0.2">
      <c r="A242" s="1141" t="s">
        <v>860</v>
      </c>
      <c r="B242" s="1154" t="s">
        <v>861</v>
      </c>
    </row>
    <row r="243" spans="1:2" x14ac:dyDescent="0.2">
      <c r="A243" s="79" t="s">
        <v>307</v>
      </c>
      <c r="B243" s="80" t="s">
        <v>308</v>
      </c>
    </row>
    <row r="244" spans="1:2" x14ac:dyDescent="0.2">
      <c r="A244" s="79" t="s">
        <v>309</v>
      </c>
      <c r="B244" s="79">
        <v>258417</v>
      </c>
    </row>
    <row r="245" spans="1:2" x14ac:dyDescent="0.2">
      <c r="A245" s="79" t="s">
        <v>311</v>
      </c>
      <c r="B245" s="79" t="s">
        <v>313</v>
      </c>
    </row>
    <row r="246" spans="1:2" x14ac:dyDescent="0.2">
      <c r="A246" s="79" t="s">
        <v>314</v>
      </c>
      <c r="B246" s="79" t="s">
        <v>316</v>
      </c>
    </row>
    <row r="247" spans="1:2" x14ac:dyDescent="0.2">
      <c r="A247" s="79" t="s">
        <v>33</v>
      </c>
      <c r="B247" s="79">
        <v>2518</v>
      </c>
    </row>
    <row r="248" spans="1:2" x14ac:dyDescent="0.2">
      <c r="A248" s="1141" t="s">
        <v>862</v>
      </c>
      <c r="B248" s="1210" t="s">
        <v>863</v>
      </c>
    </row>
    <row r="249" spans="1:2" x14ac:dyDescent="0.2">
      <c r="A249" s="79" t="s">
        <v>317</v>
      </c>
      <c r="B249" s="79">
        <v>206106</v>
      </c>
    </row>
    <row r="250" spans="1:2" x14ac:dyDescent="0.2">
      <c r="A250" s="80" t="s">
        <v>319</v>
      </c>
      <c r="B250" s="80" t="s">
        <v>320</v>
      </c>
    </row>
    <row r="251" spans="1:2" x14ac:dyDescent="0.2">
      <c r="A251" s="1144" t="s">
        <v>864</v>
      </c>
      <c r="B251" s="1169" t="s">
        <v>865</v>
      </c>
    </row>
    <row r="252" spans="1:2" x14ac:dyDescent="0.2">
      <c r="A252" s="1158" t="s">
        <v>34</v>
      </c>
      <c r="B252" s="94">
        <v>2457</v>
      </c>
    </row>
    <row r="253" spans="1:2" x14ac:dyDescent="0.2">
      <c r="A253" s="1158" t="s">
        <v>99</v>
      </c>
      <c r="B253" s="79">
        <v>2010</v>
      </c>
    </row>
    <row r="254" spans="1:2" x14ac:dyDescent="0.2">
      <c r="A254" s="79" t="s">
        <v>35</v>
      </c>
      <c r="B254" s="79">
        <v>2002</v>
      </c>
    </row>
    <row r="255" spans="1:2" x14ac:dyDescent="0.2">
      <c r="A255" s="79" t="s">
        <v>36</v>
      </c>
      <c r="B255" s="79">
        <v>3544</v>
      </c>
    </row>
    <row r="256" spans="1:2" x14ac:dyDescent="0.2">
      <c r="A256" s="79" t="s">
        <v>5</v>
      </c>
      <c r="B256" s="79">
        <v>1008</v>
      </c>
    </row>
    <row r="257" spans="1:2" x14ac:dyDescent="0.2">
      <c r="A257" s="79" t="s">
        <v>321</v>
      </c>
      <c r="B257" s="79" t="s">
        <v>322</v>
      </c>
    </row>
    <row r="258" spans="1:2" x14ac:dyDescent="0.2">
      <c r="A258" s="79" t="s">
        <v>100</v>
      </c>
      <c r="B258" s="79">
        <v>2006</v>
      </c>
    </row>
    <row r="259" spans="1:2" x14ac:dyDescent="0.2">
      <c r="A259" s="80" t="s">
        <v>323</v>
      </c>
      <c r="B259" s="80" t="s">
        <v>324</v>
      </c>
    </row>
    <row r="260" spans="1:2" x14ac:dyDescent="0.2">
      <c r="A260" s="79" t="s">
        <v>325</v>
      </c>
      <c r="B260" s="79">
        <v>206133</v>
      </c>
    </row>
    <row r="261" spans="1:2" x14ac:dyDescent="0.2">
      <c r="A261" s="1149" t="s">
        <v>867</v>
      </c>
      <c r="B261" s="1169" t="s">
        <v>868</v>
      </c>
    </row>
    <row r="262" spans="1:2" x14ac:dyDescent="0.2">
      <c r="A262" s="79" t="s">
        <v>327</v>
      </c>
      <c r="B262" s="79" t="s">
        <v>329</v>
      </c>
    </row>
    <row r="263" spans="1:2" x14ac:dyDescent="0.2">
      <c r="A263" s="79" t="s">
        <v>330</v>
      </c>
      <c r="B263" s="79">
        <v>206134</v>
      </c>
    </row>
    <row r="264" spans="1:2" x14ac:dyDescent="0.2">
      <c r="A264" s="79" t="s">
        <v>334</v>
      </c>
      <c r="B264" s="79" t="s">
        <v>335</v>
      </c>
    </row>
    <row r="265" spans="1:2" x14ac:dyDescent="0.2">
      <c r="A265" s="1199" t="s">
        <v>332</v>
      </c>
      <c r="B265" s="1200" t="s">
        <v>333</v>
      </c>
    </row>
    <row r="266" spans="1:2" x14ac:dyDescent="0.2">
      <c r="A266" s="79" t="s">
        <v>336</v>
      </c>
      <c r="B266" s="79" t="s">
        <v>337</v>
      </c>
    </row>
    <row r="267" spans="1:2" x14ac:dyDescent="0.2">
      <c r="A267" s="79" t="s">
        <v>338</v>
      </c>
      <c r="B267" s="79">
        <v>206109</v>
      </c>
    </row>
    <row r="268" spans="1:2" x14ac:dyDescent="0.2">
      <c r="A268" s="79" t="s">
        <v>37</v>
      </c>
      <c r="B268" s="79">
        <v>2434</v>
      </c>
    </row>
    <row r="269" spans="1:2" x14ac:dyDescent="0.2">
      <c r="A269" s="1161" t="s">
        <v>597</v>
      </c>
      <c r="B269" s="147">
        <v>6905</v>
      </c>
    </row>
    <row r="270" spans="1:2" x14ac:dyDescent="0.2">
      <c r="A270" s="1158" t="s">
        <v>42</v>
      </c>
      <c r="B270" s="94">
        <v>2009</v>
      </c>
    </row>
    <row r="271" spans="1:2" x14ac:dyDescent="0.2">
      <c r="A271" s="1158" t="s">
        <v>38</v>
      </c>
      <c r="B271" s="94">
        <v>2522</v>
      </c>
    </row>
    <row r="272" spans="1:2" x14ac:dyDescent="0.2">
      <c r="A272" s="79" t="s">
        <v>340</v>
      </c>
      <c r="B272" s="79">
        <v>206110</v>
      </c>
    </row>
    <row r="273" spans="1:2" x14ac:dyDescent="0.2">
      <c r="A273" s="79" t="s">
        <v>342</v>
      </c>
      <c r="B273" s="79">
        <v>206135</v>
      </c>
    </row>
    <row r="274" spans="1:2" x14ac:dyDescent="0.2">
      <c r="A274" s="1158" t="s">
        <v>69</v>
      </c>
      <c r="B274" s="94">
        <v>4181</v>
      </c>
    </row>
    <row r="275" spans="1:2" x14ac:dyDescent="0.2">
      <c r="A275" s="79" t="s">
        <v>344</v>
      </c>
      <c r="B275" s="79">
        <v>509195</v>
      </c>
    </row>
    <row r="276" spans="1:2" x14ac:dyDescent="0.2">
      <c r="A276" s="87" t="s">
        <v>346</v>
      </c>
      <c r="B276" s="88" t="s">
        <v>347</v>
      </c>
    </row>
    <row r="277" spans="1:2" x14ac:dyDescent="0.2">
      <c r="A277" s="1201" t="s">
        <v>348</v>
      </c>
      <c r="B277" s="1202" t="s">
        <v>349</v>
      </c>
    </row>
    <row r="278" spans="1:2" x14ac:dyDescent="0.2">
      <c r="A278" s="79" t="s">
        <v>350</v>
      </c>
      <c r="B278" s="79" t="s">
        <v>352</v>
      </c>
    </row>
    <row r="279" spans="1:2" x14ac:dyDescent="0.2">
      <c r="A279" s="79" t="s">
        <v>353</v>
      </c>
      <c r="B279" s="79">
        <v>509199</v>
      </c>
    </row>
    <row r="280" spans="1:2" x14ac:dyDescent="0.2">
      <c r="A280" s="79" t="s">
        <v>355</v>
      </c>
      <c r="B280" s="79">
        <v>509197</v>
      </c>
    </row>
    <row r="281" spans="1:2" x14ac:dyDescent="0.2">
      <c r="A281" s="1151" t="s">
        <v>870</v>
      </c>
      <c r="B281" s="1211">
        <v>479383</v>
      </c>
    </row>
    <row r="282" spans="1:2" x14ac:dyDescent="0.2">
      <c r="A282" s="1170" t="s">
        <v>360</v>
      </c>
      <c r="B282" s="1168" t="s">
        <v>361</v>
      </c>
    </row>
    <row r="283" spans="1:2" x14ac:dyDescent="0.2">
      <c r="A283" s="1158" t="s">
        <v>70</v>
      </c>
      <c r="B283" s="94">
        <v>4182</v>
      </c>
    </row>
    <row r="284" spans="1:2" x14ac:dyDescent="0.2">
      <c r="A284" s="79" t="s">
        <v>357</v>
      </c>
      <c r="B284" s="79" t="s">
        <v>359</v>
      </c>
    </row>
    <row r="285" spans="1:2" x14ac:dyDescent="0.2">
      <c r="A285" s="79" t="s">
        <v>6</v>
      </c>
      <c r="B285" s="79">
        <v>1005</v>
      </c>
    </row>
    <row r="286" spans="1:2" x14ac:dyDescent="0.2">
      <c r="A286" s="489" t="s">
        <v>871</v>
      </c>
      <c r="B286" s="1179" t="s">
        <v>872</v>
      </c>
    </row>
    <row r="287" spans="1:2" x14ac:dyDescent="0.2">
      <c r="A287" s="1158" t="s">
        <v>39</v>
      </c>
      <c r="B287" s="94">
        <v>2436</v>
      </c>
    </row>
    <row r="288" spans="1:2" x14ac:dyDescent="0.2">
      <c r="A288" s="79" t="s">
        <v>362</v>
      </c>
      <c r="B288" s="79">
        <v>206117</v>
      </c>
    </row>
    <row r="289" spans="1:2" x14ac:dyDescent="0.2">
      <c r="A289" s="79" t="s">
        <v>40</v>
      </c>
      <c r="B289" s="79">
        <v>2452</v>
      </c>
    </row>
    <row r="290" spans="1:2" x14ac:dyDescent="0.2">
      <c r="A290" s="1158" t="s">
        <v>71</v>
      </c>
      <c r="B290" s="94">
        <v>4001</v>
      </c>
    </row>
    <row r="291" spans="1:2" x14ac:dyDescent="0.2">
      <c r="A291" s="79" t="s">
        <v>364</v>
      </c>
      <c r="B291" s="79">
        <v>206141</v>
      </c>
    </row>
    <row r="292" spans="1:2" x14ac:dyDescent="0.2">
      <c r="A292" s="1158" t="s">
        <v>41</v>
      </c>
      <c r="B292" s="94">
        <v>2627</v>
      </c>
    </row>
    <row r="293" spans="1:2" x14ac:dyDescent="0.2">
      <c r="A293" s="1158" t="s">
        <v>112</v>
      </c>
      <c r="B293" s="94">
        <v>5406</v>
      </c>
    </row>
    <row r="294" spans="1:2" x14ac:dyDescent="0.2">
      <c r="A294" s="1158" t="s">
        <v>113</v>
      </c>
      <c r="B294" s="94">
        <v>5407</v>
      </c>
    </row>
    <row r="295" spans="1:2" x14ac:dyDescent="0.2">
      <c r="A295" s="79" t="s">
        <v>366</v>
      </c>
      <c r="B295" s="79" t="s">
        <v>368</v>
      </c>
    </row>
    <row r="296" spans="1:2" x14ac:dyDescent="0.2">
      <c r="A296" s="79" t="s">
        <v>369</v>
      </c>
      <c r="B296" s="79">
        <v>258404</v>
      </c>
    </row>
    <row r="297" spans="1:2" x14ac:dyDescent="0.2">
      <c r="A297" s="1158" t="s">
        <v>101</v>
      </c>
      <c r="B297" s="79">
        <v>2473</v>
      </c>
    </row>
    <row r="298" spans="1:2" x14ac:dyDescent="0.2">
      <c r="A298" s="1158" t="s">
        <v>44</v>
      </c>
      <c r="B298" s="94">
        <v>2471</v>
      </c>
    </row>
    <row r="299" spans="1:2" x14ac:dyDescent="0.2">
      <c r="A299" s="79" t="s">
        <v>371</v>
      </c>
      <c r="B299" s="79">
        <v>258405</v>
      </c>
    </row>
    <row r="300" spans="1:2" x14ac:dyDescent="0.2">
      <c r="A300" s="79" t="s">
        <v>373</v>
      </c>
      <c r="B300" s="79">
        <v>258406</v>
      </c>
    </row>
    <row r="301" spans="1:2" x14ac:dyDescent="0.2">
      <c r="A301" s="79" t="s">
        <v>43</v>
      </c>
      <c r="B301" s="79">
        <v>2420</v>
      </c>
    </row>
    <row r="302" spans="1:2" x14ac:dyDescent="0.2">
      <c r="A302" s="79" t="s">
        <v>375</v>
      </c>
      <c r="B302" s="79">
        <v>206160</v>
      </c>
    </row>
    <row r="303" spans="1:2" x14ac:dyDescent="0.2">
      <c r="A303" s="79" t="s">
        <v>45</v>
      </c>
      <c r="B303" s="79">
        <v>2003</v>
      </c>
    </row>
    <row r="304" spans="1:2" x14ac:dyDescent="0.2">
      <c r="A304" s="1158" t="s">
        <v>46</v>
      </c>
      <c r="B304" s="94">
        <v>2423</v>
      </c>
    </row>
    <row r="305" spans="1:2" x14ac:dyDescent="0.2">
      <c r="A305" s="1158" t="s">
        <v>47</v>
      </c>
      <c r="B305" s="94">
        <v>2424</v>
      </c>
    </row>
    <row r="306" spans="1:2" x14ac:dyDescent="0.2">
      <c r="A306" s="79" t="s">
        <v>377</v>
      </c>
      <c r="B306" s="79" t="s">
        <v>379</v>
      </c>
    </row>
    <row r="307" spans="1:2" x14ac:dyDescent="0.2">
      <c r="A307" s="726" t="s">
        <v>873</v>
      </c>
      <c r="B307" s="1179" t="s">
        <v>874</v>
      </c>
    </row>
    <row r="308" spans="1:2" x14ac:dyDescent="0.2">
      <c r="A308" s="79" t="s">
        <v>382</v>
      </c>
      <c r="B308" s="79" t="s">
        <v>384</v>
      </c>
    </row>
    <row r="309" spans="1:2" x14ac:dyDescent="0.2">
      <c r="A309" s="79" t="s">
        <v>385</v>
      </c>
      <c r="B309" s="79">
        <v>206146</v>
      </c>
    </row>
    <row r="310" spans="1:2" x14ac:dyDescent="0.2">
      <c r="A310" s="1158" t="s">
        <v>48</v>
      </c>
      <c r="B310" s="94">
        <v>2439</v>
      </c>
    </row>
    <row r="311" spans="1:2" x14ac:dyDescent="0.2">
      <c r="A311" s="1158" t="s">
        <v>49</v>
      </c>
      <c r="B311" s="94">
        <v>2440</v>
      </c>
    </row>
    <row r="312" spans="1:2" x14ac:dyDescent="0.2">
      <c r="A312" s="80" t="s">
        <v>387</v>
      </c>
      <c r="B312" s="80" t="s">
        <v>388</v>
      </c>
    </row>
    <row r="313" spans="1:2" x14ac:dyDescent="0.2">
      <c r="A313" s="1158" t="s">
        <v>102</v>
      </c>
      <c r="B313" s="79">
        <v>2462</v>
      </c>
    </row>
    <row r="314" spans="1:2" x14ac:dyDescent="0.2">
      <c r="A314" s="1158" t="s">
        <v>50</v>
      </c>
      <c r="B314" s="94">
        <v>2463</v>
      </c>
    </row>
    <row r="315" spans="1:2" x14ac:dyDescent="0.2">
      <c r="A315" s="79" t="s">
        <v>51</v>
      </c>
      <c r="B315" s="79">
        <v>2505</v>
      </c>
    </row>
    <row r="316" spans="1:2" x14ac:dyDescent="0.2">
      <c r="A316" s="79" t="s">
        <v>52</v>
      </c>
      <c r="B316" s="79">
        <v>2000</v>
      </c>
    </row>
    <row r="317" spans="1:2" x14ac:dyDescent="0.2">
      <c r="A317" s="1158" t="s">
        <v>53</v>
      </c>
      <c r="B317" s="94">
        <v>2458</v>
      </c>
    </row>
    <row r="318" spans="1:2" x14ac:dyDescent="0.2">
      <c r="A318" s="79" t="s">
        <v>392</v>
      </c>
      <c r="B318" s="79" t="s">
        <v>394</v>
      </c>
    </row>
    <row r="319" spans="1:2" x14ac:dyDescent="0.2">
      <c r="A319" s="79" t="s">
        <v>54</v>
      </c>
      <c r="B319" s="79">
        <v>2001</v>
      </c>
    </row>
    <row r="320" spans="1:2" x14ac:dyDescent="0.2">
      <c r="A320" s="80" t="s">
        <v>395</v>
      </c>
      <c r="B320" s="80" t="s">
        <v>396</v>
      </c>
    </row>
    <row r="321" spans="1:2" x14ac:dyDescent="0.2">
      <c r="A321" s="79" t="s">
        <v>55</v>
      </c>
      <c r="B321" s="79">
        <v>2429</v>
      </c>
    </row>
    <row r="322" spans="1:2" x14ac:dyDescent="0.2">
      <c r="A322" s="79" t="s">
        <v>397</v>
      </c>
      <c r="B322" s="79">
        <v>113044</v>
      </c>
    </row>
    <row r="323" spans="1:2" x14ac:dyDescent="0.2">
      <c r="A323" s="79" t="s">
        <v>399</v>
      </c>
      <c r="B323" s="79" t="s">
        <v>401</v>
      </c>
    </row>
    <row r="324" spans="1:2" x14ac:dyDescent="0.2">
      <c r="A324" s="1158" t="s">
        <v>72</v>
      </c>
      <c r="B324" s="94">
        <v>4607</v>
      </c>
    </row>
    <row r="325" spans="1:2" x14ac:dyDescent="0.2">
      <c r="A325" s="665" t="s">
        <v>881</v>
      </c>
      <c r="B325" s="1169" t="s">
        <v>882</v>
      </c>
    </row>
    <row r="326" spans="1:2" x14ac:dyDescent="0.2">
      <c r="A326" s="726" t="s">
        <v>883</v>
      </c>
      <c r="B326" s="1154" t="s">
        <v>884</v>
      </c>
    </row>
    <row r="327" spans="1:2" x14ac:dyDescent="0.2">
      <c r="A327" s="79" t="s">
        <v>56</v>
      </c>
      <c r="B327" s="79">
        <v>2444</v>
      </c>
    </row>
    <row r="328" spans="1:2" x14ac:dyDescent="0.2">
      <c r="A328" s="1158" t="s">
        <v>57</v>
      </c>
      <c r="B328" s="94">
        <v>5209</v>
      </c>
    </row>
    <row r="329" spans="1:2" x14ac:dyDescent="0.2">
      <c r="A329" s="79" t="s">
        <v>402</v>
      </c>
      <c r="B329" s="79" t="s">
        <v>404</v>
      </c>
    </row>
    <row r="330" spans="1:2" x14ac:dyDescent="0.2">
      <c r="A330" s="79" t="s">
        <v>405</v>
      </c>
      <c r="B330" s="79" t="s">
        <v>407</v>
      </c>
    </row>
    <row r="331" spans="1:2" x14ac:dyDescent="0.2">
      <c r="A331" s="1158" t="s">
        <v>58</v>
      </c>
      <c r="B331" s="94">
        <v>2469</v>
      </c>
    </row>
    <row r="332" spans="1:2" x14ac:dyDescent="0.2">
      <c r="A332" s="79" t="s">
        <v>408</v>
      </c>
      <c r="B332" s="79" t="s">
        <v>410</v>
      </c>
    </row>
    <row r="333" spans="1:2" x14ac:dyDescent="0.2">
      <c r="A333" s="99" t="s">
        <v>411</v>
      </c>
      <c r="B333" s="99" t="s">
        <v>412</v>
      </c>
    </row>
    <row r="334" spans="1:2" x14ac:dyDescent="0.2">
      <c r="A334" s="1158" t="s">
        <v>59</v>
      </c>
      <c r="B334" s="94">
        <v>2466</v>
      </c>
    </row>
    <row r="335" spans="1:2" x14ac:dyDescent="0.2">
      <c r="A335" s="79" t="s">
        <v>60</v>
      </c>
      <c r="B335" s="79">
        <v>3543</v>
      </c>
    </row>
    <row r="336" spans="1:2" x14ac:dyDescent="0.2">
      <c r="A336" s="79" t="s">
        <v>413</v>
      </c>
      <c r="B336" s="79">
        <v>206152</v>
      </c>
    </row>
    <row r="337" spans="1:2" x14ac:dyDescent="0.2">
      <c r="A337" s="79" t="s">
        <v>415</v>
      </c>
      <c r="B337" s="79">
        <v>206153</v>
      </c>
    </row>
    <row r="338" spans="1:2" x14ac:dyDescent="0.2">
      <c r="A338" s="1158" t="s">
        <v>62</v>
      </c>
      <c r="B338" s="94">
        <v>3531</v>
      </c>
    </row>
    <row r="339" spans="1:2" x14ac:dyDescent="0.2">
      <c r="A339" s="79" t="s">
        <v>63</v>
      </c>
      <c r="B339" s="79">
        <v>3526</v>
      </c>
    </row>
    <row r="340" spans="1:2" x14ac:dyDescent="0.2">
      <c r="A340" s="1158" t="s">
        <v>104</v>
      </c>
      <c r="B340" s="94">
        <v>3535</v>
      </c>
    </row>
    <row r="341" spans="1:2" x14ac:dyDescent="0.2">
      <c r="A341" s="1203" t="s">
        <v>64</v>
      </c>
      <c r="B341" s="94">
        <v>2008</v>
      </c>
    </row>
    <row r="342" spans="1:2" x14ac:dyDescent="0.2">
      <c r="A342" s="1158" t="s">
        <v>105</v>
      </c>
      <c r="B342" s="94">
        <v>3542</v>
      </c>
    </row>
    <row r="343" spans="1:2" x14ac:dyDescent="0.2">
      <c r="A343" s="90" t="s">
        <v>417</v>
      </c>
      <c r="B343" s="79">
        <v>206154</v>
      </c>
    </row>
    <row r="344" spans="1:2" x14ac:dyDescent="0.2">
      <c r="A344" s="1158" t="s">
        <v>106</v>
      </c>
      <c r="B344" s="79">
        <v>3528</v>
      </c>
    </row>
    <row r="345" spans="1:2" x14ac:dyDescent="0.2">
      <c r="A345" s="80" t="s">
        <v>419</v>
      </c>
      <c r="B345" s="80" t="s">
        <v>420</v>
      </c>
    </row>
    <row r="346" spans="1:2" x14ac:dyDescent="0.2">
      <c r="A346" s="1158" t="s">
        <v>107</v>
      </c>
      <c r="B346" s="94">
        <v>3534</v>
      </c>
    </row>
    <row r="347" spans="1:2" x14ac:dyDescent="0.2">
      <c r="A347" s="1158" t="s">
        <v>108</v>
      </c>
      <c r="B347" s="143">
        <v>3532</v>
      </c>
    </row>
    <row r="348" spans="1:2" x14ac:dyDescent="0.2">
      <c r="A348" s="107" t="s">
        <v>7</v>
      </c>
      <c r="B348" s="79">
        <v>1010</v>
      </c>
    </row>
    <row r="349" spans="1:2" x14ac:dyDescent="0.2">
      <c r="A349" s="107" t="s">
        <v>421</v>
      </c>
      <c r="B349" s="79" t="s">
        <v>423</v>
      </c>
    </row>
    <row r="350" spans="1:2" x14ac:dyDescent="0.2">
      <c r="A350" s="1158" t="s">
        <v>114</v>
      </c>
      <c r="B350" s="94">
        <v>4177</v>
      </c>
    </row>
    <row r="351" spans="1:2" x14ac:dyDescent="0.2">
      <c r="A351" s="79" t="s">
        <v>424</v>
      </c>
      <c r="B351" s="79" t="s">
        <v>426</v>
      </c>
    </row>
    <row r="352" spans="1:2" x14ac:dyDescent="0.2">
      <c r="A352" s="79" t="s">
        <v>427</v>
      </c>
      <c r="B352" s="79">
        <v>206103</v>
      </c>
    </row>
    <row r="353" spans="1:2" x14ac:dyDescent="0.2">
      <c r="A353" s="79" t="s">
        <v>428</v>
      </c>
      <c r="B353" s="79" t="s">
        <v>430</v>
      </c>
    </row>
    <row r="354" spans="1:2" x14ac:dyDescent="0.2">
      <c r="A354" s="79" t="s">
        <v>431</v>
      </c>
      <c r="B354" s="79" t="s">
        <v>433</v>
      </c>
    </row>
    <row r="355" spans="1:2" x14ac:dyDescent="0.2">
      <c r="A355" s="79" t="s">
        <v>434</v>
      </c>
      <c r="B355" s="79">
        <v>258420</v>
      </c>
    </row>
    <row r="356" spans="1:2" x14ac:dyDescent="0.2">
      <c r="A356" s="79" t="s">
        <v>436</v>
      </c>
      <c r="B356" s="79">
        <v>258424</v>
      </c>
    </row>
    <row r="357" spans="1:2" x14ac:dyDescent="0.2">
      <c r="A357" s="79" t="s">
        <v>438</v>
      </c>
      <c r="B357" s="79" t="s">
        <v>439</v>
      </c>
    </row>
    <row r="358" spans="1:2" x14ac:dyDescent="0.2">
      <c r="A358" s="142" t="s">
        <v>65</v>
      </c>
      <c r="B358" s="79">
        <v>3546</v>
      </c>
    </row>
    <row r="359" spans="1:2" x14ac:dyDescent="0.2">
      <c r="A359" s="140" t="s">
        <v>8</v>
      </c>
      <c r="B359" s="79">
        <v>1009</v>
      </c>
    </row>
    <row r="360" spans="1:2" x14ac:dyDescent="0.2">
      <c r="A360" s="142" t="s">
        <v>66</v>
      </c>
      <c r="B360" s="79">
        <v>3530</v>
      </c>
    </row>
    <row r="361" spans="1:2" x14ac:dyDescent="0.2">
      <c r="A361" s="1158" t="s">
        <v>74</v>
      </c>
      <c r="B361" s="94">
        <v>5412</v>
      </c>
    </row>
    <row r="362" spans="1:2" ht="15" x14ac:dyDescent="0.2">
      <c r="A362" s="146" t="s">
        <v>445</v>
      </c>
      <c r="B362" s="146" t="s">
        <v>446</v>
      </c>
    </row>
    <row r="363" spans="1:2" x14ac:dyDescent="0.2">
      <c r="A363" s="140" t="s">
        <v>440</v>
      </c>
      <c r="B363" s="144" t="s">
        <v>442</v>
      </c>
    </row>
    <row r="364" spans="1:2" x14ac:dyDescent="0.2">
      <c r="A364" s="79" t="s">
        <v>9</v>
      </c>
      <c r="B364" s="140">
        <v>1015</v>
      </c>
    </row>
    <row r="365" spans="1:2" x14ac:dyDescent="0.2">
      <c r="A365" s="141" t="s">
        <v>443</v>
      </c>
      <c r="B365" s="145" t="s">
        <v>444</v>
      </c>
    </row>
    <row r="366" spans="1:2" x14ac:dyDescent="0.2">
      <c r="A366" s="142" t="s">
        <v>447</v>
      </c>
      <c r="B366" s="79">
        <v>509204</v>
      </c>
    </row>
    <row r="367" spans="1:2" x14ac:dyDescent="0.2">
      <c r="A367" s="1206" t="s">
        <v>67</v>
      </c>
      <c r="B367" s="143">
        <v>2459</v>
      </c>
    </row>
    <row r="368" spans="1:2" x14ac:dyDescent="0.2">
      <c r="A368" s="79" t="s">
        <v>96</v>
      </c>
      <c r="B368" s="79">
        <v>2007</v>
      </c>
    </row>
  </sheetData>
  <sheetProtection password="EF5C" sheet="1" objects="1" scenarios="1"/>
  <mergeCells count="6">
    <mergeCell ref="E117:F117"/>
    <mergeCell ref="N2:O2"/>
    <mergeCell ref="N3:O3"/>
    <mergeCell ref="N4:O4"/>
    <mergeCell ref="C114:D114"/>
    <mergeCell ref="D116:E116"/>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358"/>
  <sheetViews>
    <sheetView workbookViewId="0">
      <pane xSplit="2" ySplit="5" topLeftCell="V6" activePane="bottomRight" state="frozen"/>
      <selection activeCell="C118" sqref="C118"/>
      <selection pane="topRight" activeCell="C118" sqref="C118"/>
      <selection pane="bottomLeft" activeCell="C118" sqref="C118"/>
      <selection pane="bottomRight" sqref="A1:AH1048576"/>
    </sheetView>
  </sheetViews>
  <sheetFormatPr defaultRowHeight="12.75" x14ac:dyDescent="0.2"/>
  <cols>
    <col min="1" max="1" width="52.42578125" hidden="1" customWidth="1"/>
    <col min="2" max="2" width="17.140625" style="30" hidden="1" customWidth="1"/>
    <col min="3" max="9" width="11.42578125" style="23" hidden="1" customWidth="1"/>
    <col min="10" max="12" width="11.42578125" style="1009" hidden="1" customWidth="1"/>
    <col min="13" max="14" width="15.140625" style="1009" hidden="1" customWidth="1"/>
    <col min="15" max="17" width="12.5703125" style="1009" hidden="1" customWidth="1"/>
    <col min="18" max="34" width="0" hidden="1" customWidth="1"/>
  </cols>
  <sheetData>
    <row r="1" spans="1:32" x14ac:dyDescent="0.2">
      <c r="A1" s="1008" t="s">
        <v>1037</v>
      </c>
    </row>
    <row r="2" spans="1:32" ht="18.75" customHeight="1" x14ac:dyDescent="0.2">
      <c r="A2" s="1" t="s">
        <v>1038</v>
      </c>
      <c r="B2" s="1010"/>
      <c r="C2" s="1011">
        <v>933.86172170858913</v>
      </c>
      <c r="D2" s="1011">
        <v>117.30841547807324</v>
      </c>
      <c r="E2" s="1011">
        <v>234.6255044064591</v>
      </c>
      <c r="F2" s="1011">
        <v>352.38493930078818</v>
      </c>
      <c r="G2" s="1011">
        <v>469.69335477886142</v>
      </c>
      <c r="H2" s="1011">
        <v>939.39538300803542</v>
      </c>
      <c r="I2" s="1011">
        <v>939.39538300803542</v>
      </c>
      <c r="J2" s="1012"/>
      <c r="K2" s="1013"/>
      <c r="L2" s="1012"/>
      <c r="M2" s="1012"/>
      <c r="N2" s="1012"/>
      <c r="O2" s="1010"/>
      <c r="P2" s="1010"/>
      <c r="Q2" s="1010"/>
    </row>
    <row r="3" spans="1:32" ht="18.75" customHeight="1" x14ac:dyDescent="0.2">
      <c r="A3" s="1" t="s">
        <v>77</v>
      </c>
      <c r="B3" s="1010"/>
      <c r="C3" s="1011">
        <v>715.21270513666468</v>
      </c>
      <c r="D3" s="1011">
        <v>93.126835011549474</v>
      </c>
      <c r="E3" s="1011">
        <v>186.68734253409619</v>
      </c>
      <c r="F3" s="1011">
        <v>279.82285099586556</v>
      </c>
      <c r="G3" s="1011">
        <v>372.9496860074151</v>
      </c>
      <c r="H3" s="1011">
        <v>746.33304452582729</v>
      </c>
      <c r="I3" s="1011">
        <v>746.33304452582729</v>
      </c>
      <c r="J3" s="1012"/>
      <c r="K3" s="1013"/>
      <c r="L3" s="1012"/>
      <c r="M3" s="3"/>
      <c r="N3" s="1012"/>
      <c r="O3" s="1010"/>
      <c r="P3" s="1010"/>
      <c r="Q3" s="1010"/>
    </row>
    <row r="4" spans="1:32" ht="23.25" customHeight="1" x14ac:dyDescent="0.2">
      <c r="A4" s="1"/>
      <c r="B4" s="1010" t="s">
        <v>1039</v>
      </c>
      <c r="C4" s="1011"/>
      <c r="D4" s="1011"/>
      <c r="E4" s="1011"/>
      <c r="F4" s="1011"/>
      <c r="G4" s="1011"/>
      <c r="H4" s="1011"/>
      <c r="I4" s="1011"/>
      <c r="J4" s="1012"/>
      <c r="K4" s="1013"/>
      <c r="L4" s="1012"/>
      <c r="M4" s="3"/>
      <c r="N4" s="1012"/>
      <c r="O4" s="1010"/>
      <c r="P4" s="1010"/>
      <c r="Q4" s="1010"/>
      <c r="R4" s="418" t="s">
        <v>1357</v>
      </c>
      <c r="S4" s="418"/>
      <c r="T4" s="418" t="s">
        <v>1358</v>
      </c>
      <c r="U4" s="418"/>
      <c r="V4" s="418" t="s">
        <v>1359</v>
      </c>
      <c r="W4" s="418"/>
      <c r="X4" s="418" t="s">
        <v>1360</v>
      </c>
      <c r="Y4" s="418"/>
      <c r="Z4" s="418" t="s">
        <v>1361</v>
      </c>
      <c r="AA4" s="418"/>
      <c r="AB4" s="418" t="s">
        <v>1362</v>
      </c>
      <c r="AC4" s="418"/>
      <c r="AD4" s="418" t="s">
        <v>1363</v>
      </c>
      <c r="AE4" s="418"/>
    </row>
    <row r="5" spans="1:32" ht="73.5" customHeight="1" x14ac:dyDescent="0.2">
      <c r="A5" s="13" t="s">
        <v>118</v>
      </c>
      <c r="B5" s="6" t="s">
        <v>81</v>
      </c>
      <c r="C5" s="1014" t="s">
        <v>1040</v>
      </c>
      <c r="D5" s="1014" t="s">
        <v>120</v>
      </c>
      <c r="E5" s="1014" t="s">
        <v>121</v>
      </c>
      <c r="F5" s="1014" t="s">
        <v>122</v>
      </c>
      <c r="G5" s="1014" t="s">
        <v>123</v>
      </c>
      <c r="H5" s="1014" t="s">
        <v>124</v>
      </c>
      <c r="I5" s="1014" t="s">
        <v>125</v>
      </c>
      <c r="J5" s="1015"/>
      <c r="K5" s="1015" t="s">
        <v>1041</v>
      </c>
      <c r="L5" s="1015" t="s">
        <v>1042</v>
      </c>
      <c r="M5" s="1015" t="s">
        <v>1043</v>
      </c>
      <c r="N5" s="1015" t="s">
        <v>1044</v>
      </c>
      <c r="O5" s="8" t="s">
        <v>1045</v>
      </c>
      <c r="P5" s="8"/>
      <c r="Q5" s="8"/>
      <c r="R5" s="8" t="s">
        <v>0</v>
      </c>
      <c r="S5" s="8" t="s">
        <v>1</v>
      </c>
      <c r="T5" s="8" t="s">
        <v>0</v>
      </c>
      <c r="U5" s="8" t="s">
        <v>1</v>
      </c>
      <c r="V5" s="8" t="s">
        <v>0</v>
      </c>
      <c r="W5" s="8" t="s">
        <v>1</v>
      </c>
      <c r="X5" s="8" t="s">
        <v>0</v>
      </c>
      <c r="Y5" s="8" t="s">
        <v>1</v>
      </c>
      <c r="Z5" s="8" t="s">
        <v>0</v>
      </c>
      <c r="AA5" s="8" t="s">
        <v>1</v>
      </c>
      <c r="AB5" s="8" t="s">
        <v>0</v>
      </c>
      <c r="AC5" s="8" t="s">
        <v>1</v>
      </c>
      <c r="AD5" s="8" t="s">
        <v>0</v>
      </c>
      <c r="AE5" s="8" t="s">
        <v>1</v>
      </c>
      <c r="AF5" s="30"/>
    </row>
    <row r="6" spans="1:32" x14ac:dyDescent="0.2">
      <c r="A6" s="9" t="s">
        <v>10</v>
      </c>
      <c r="B6" s="10">
        <v>2012</v>
      </c>
      <c r="C6" s="9">
        <f>SUMIF('2015 Factor % to units'!$B:$B,$B6,'2015 Factor % to units'!$G:$G)</f>
        <v>238.66666666666666</v>
      </c>
      <c r="D6" s="9">
        <f>SUMIF('2015 Factor % to units'!$B:$B,$B6,'2015 Factor % to units'!$X:$X)</f>
        <v>5.9999999999999822</v>
      </c>
      <c r="E6" s="9">
        <f>SUMIF('2015 Factor % to units'!$B:$B,$B6,'2015 Factor % to units'!$Z:$Z)</f>
        <v>2</v>
      </c>
      <c r="F6" s="9">
        <f>SUMIF('2015 Factor % to units'!$B:$B,$B6,'2015 Factor % to units'!$AB:$AB)</f>
        <v>14.999999999999991</v>
      </c>
      <c r="G6" s="9">
        <f>SUMIF('2015 Factor % to units'!$B:$B,$B6,'2015 Factor % to units'!$AD:$AD)</f>
        <v>143.00000000000003</v>
      </c>
      <c r="H6" s="9">
        <f>SUMIF('2015 Factor % to units'!$B:$B,$B6,'2015 Factor % to units'!$AF:$AF)</f>
        <v>109.0000000000001</v>
      </c>
      <c r="I6" s="9">
        <f>SUMIF('2015 Factor % to units'!$B:$B,$B6,'2015 Factor % to units'!$AH:$AH)</f>
        <v>80</v>
      </c>
      <c r="J6" s="1016">
        <f>SUM(C6:I6)</f>
        <v>593.66666666666674</v>
      </c>
      <c r="K6" s="1016">
        <f t="shared" ref="K6:K68" si="0">C$2*C6</f>
        <v>222881.66424778325</v>
      </c>
      <c r="L6" s="1016"/>
      <c r="M6" s="1017">
        <f t="shared" ref="M6:M69" si="1">D$2*D6+E$2*E6+F$2*F6+G$2*G6+H$2*H6+I$2*I6</f>
        <v>251170.75271308917</v>
      </c>
      <c r="N6" s="1017"/>
      <c r="O6" s="1018">
        <f>K6+L6+M6+N6</f>
        <v>474052.41696087242</v>
      </c>
      <c r="P6" s="1018"/>
      <c r="Q6" s="1018"/>
      <c r="R6" s="1021">
        <f>C6</f>
        <v>238.66666666666666</v>
      </c>
      <c r="S6" s="9"/>
      <c r="T6" s="9">
        <f>D6</f>
        <v>5.9999999999999822</v>
      </c>
      <c r="U6" s="9"/>
      <c r="V6" s="9">
        <f>E6</f>
        <v>2</v>
      </c>
      <c r="W6" s="9"/>
      <c r="X6" s="9">
        <f>F6</f>
        <v>14.999999999999991</v>
      </c>
      <c r="Y6" s="9"/>
      <c r="Z6" s="11">
        <f>G6</f>
        <v>143.00000000000003</v>
      </c>
      <c r="AA6" s="30"/>
      <c r="AB6" s="11">
        <f>H6</f>
        <v>109.0000000000001</v>
      </c>
      <c r="AC6" s="30"/>
      <c r="AD6" s="11">
        <f>I6</f>
        <v>80</v>
      </c>
      <c r="AE6" s="30"/>
      <c r="AF6" s="1014"/>
    </row>
    <row r="7" spans="1:32" x14ac:dyDescent="0.2">
      <c r="A7" s="9" t="s">
        <v>11</v>
      </c>
      <c r="B7" s="10">
        <v>2443</v>
      </c>
      <c r="C7" s="9">
        <f>SUMIF('2015 Factor % to units'!$B:$B,$B7,'2015 Factor % to units'!$G:$G)</f>
        <v>66.949806949806941</v>
      </c>
      <c r="D7" s="9">
        <f>SUMIF('2015 Factor % to units'!$B:$B,$B7,'2015 Factor % to units'!$X:$X)</f>
        <v>34.999999999999915</v>
      </c>
      <c r="E7" s="9">
        <f>SUMIF('2015 Factor % to units'!$B:$B,$B7,'2015 Factor % to units'!$Z:$Z)</f>
        <v>7.0000000000000098</v>
      </c>
      <c r="F7" s="9">
        <f>SUMIF('2015 Factor % to units'!$B:$B,$B7,'2015 Factor % to units'!$AB:$AB)</f>
        <v>31.999999999999908</v>
      </c>
      <c r="G7" s="9">
        <f>SUMIF('2015 Factor % to units'!$B:$B,$B7,'2015 Factor % to units'!$AD:$AD)</f>
        <v>40.99999999999995</v>
      </c>
      <c r="H7" s="9">
        <f>SUMIF('2015 Factor % to units'!$B:$B,$B7,'2015 Factor % to units'!$AF:$AF)</f>
        <v>28.99999999999989</v>
      </c>
      <c r="I7" s="9">
        <f>SUMIF('2015 Factor % to units'!$B:$B,$B7,'2015 Factor % to units'!$AH:$AH)</f>
        <v>3.9999999999999947</v>
      </c>
      <c r="J7" s="1016">
        <f t="shared" ref="J7:J69" si="2">SUM(C7:I7)</f>
        <v>214.9498069498066</v>
      </c>
      <c r="K7" s="1016">
        <f t="shared" si="0"/>
        <v>62521.861986204378</v>
      </c>
      <c r="L7" s="1016"/>
      <c r="M7" s="1017">
        <f t="shared" si="1"/>
        <v>67281.966315401311</v>
      </c>
      <c r="N7" s="1017"/>
      <c r="O7" s="1018">
        <f t="shared" ref="O7:O70" si="3">K7+L7+M7+N7</f>
        <v>129803.82830160568</v>
      </c>
      <c r="P7" s="1018"/>
      <c r="Q7" s="1018"/>
      <c r="R7" s="1021">
        <f>C7</f>
        <v>66.949806949806941</v>
      </c>
      <c r="S7" s="9"/>
      <c r="T7" s="9">
        <f>D7</f>
        <v>34.999999999999915</v>
      </c>
      <c r="U7" s="9"/>
      <c r="V7" s="9">
        <f>E7</f>
        <v>7.0000000000000098</v>
      </c>
      <c r="W7" s="9"/>
      <c r="X7" s="9">
        <f>F7</f>
        <v>31.999999999999908</v>
      </c>
      <c r="Y7" s="9"/>
      <c r="Z7" s="11">
        <f>G7</f>
        <v>40.99999999999995</v>
      </c>
      <c r="AA7" s="30"/>
      <c r="AB7" s="11">
        <f>H7</f>
        <v>28.99999999999989</v>
      </c>
      <c r="AC7" s="30"/>
      <c r="AD7" s="11">
        <f>I7</f>
        <v>3.9999999999999947</v>
      </c>
      <c r="AE7" s="30"/>
      <c r="AF7" s="30"/>
    </row>
    <row r="8" spans="1:32" x14ac:dyDescent="0.2">
      <c r="A8" s="9" t="s">
        <v>94</v>
      </c>
      <c r="B8" s="10">
        <v>2442</v>
      </c>
      <c r="C8" s="9">
        <f>SUMIF('2015 Factor % to units'!$B:$B,$B8,'2015 Factor % to units'!$G:$G)</f>
        <v>123.60000000000001</v>
      </c>
      <c r="D8" s="9">
        <f>SUMIF('2015 Factor % to units'!$B:$B,$B8,'2015 Factor % to units'!$X:$X)</f>
        <v>42.355140186915989</v>
      </c>
      <c r="E8" s="9">
        <f>SUMIF('2015 Factor % to units'!$B:$B,$B8,'2015 Factor % to units'!$Z:$Z)</f>
        <v>11.551401869158891</v>
      </c>
      <c r="F8" s="9">
        <f>SUMIF('2015 Factor % to units'!$B:$B,$B8,'2015 Factor % to units'!$AB:$AB)</f>
        <v>28.878504672897183</v>
      </c>
      <c r="G8" s="9">
        <f>SUMIF('2015 Factor % to units'!$B:$B,$B8,'2015 Factor % to units'!$AD:$AD)</f>
        <v>63.532710280373827</v>
      </c>
      <c r="H8" s="9">
        <f>SUMIF('2015 Factor % to units'!$B:$B,$B8,'2015 Factor % to units'!$AF:$AF)</f>
        <v>32.728971962616889</v>
      </c>
      <c r="I8" s="9">
        <f>SUMIF('2015 Factor % to units'!$B:$B,$B8,'2015 Factor % to units'!$AH:$AH)</f>
        <v>4.8130841121495198</v>
      </c>
      <c r="J8" s="1016">
        <f t="shared" si="2"/>
        <v>307.45981308411228</v>
      </c>
      <c r="K8" s="1016">
        <f t="shared" si="0"/>
        <v>115425.30880318163</v>
      </c>
      <c r="L8" s="1016"/>
      <c r="M8" s="1017">
        <f t="shared" si="1"/>
        <v>82962.943964134858</v>
      </c>
      <c r="N8" s="1017"/>
      <c r="O8" s="1018">
        <f t="shared" si="3"/>
        <v>198388.25276731647</v>
      </c>
      <c r="P8" s="1018"/>
      <c r="Q8" s="1018"/>
      <c r="R8" s="1021">
        <f t="shared" ref="R8:R71" si="4">C8</f>
        <v>123.60000000000001</v>
      </c>
      <c r="S8" s="9"/>
      <c r="T8" s="9">
        <f t="shared" ref="T8:T71" si="5">D8</f>
        <v>42.355140186915989</v>
      </c>
      <c r="U8" s="9"/>
      <c r="V8" s="9">
        <f t="shared" ref="V8:V71" si="6">E8</f>
        <v>11.551401869158891</v>
      </c>
      <c r="W8" s="9"/>
      <c r="X8" s="9">
        <f t="shared" ref="X8:X71" si="7">F8</f>
        <v>28.878504672897183</v>
      </c>
      <c r="Y8" s="9"/>
      <c r="Z8" s="11">
        <f t="shared" ref="Z8:Z71" si="8">G8</f>
        <v>63.532710280373827</v>
      </c>
      <c r="AA8" s="30"/>
      <c r="AB8" s="11">
        <f t="shared" ref="AB8:AB71" si="9">H8</f>
        <v>32.728971962616889</v>
      </c>
      <c r="AC8" s="30"/>
      <c r="AD8" s="11">
        <f t="shared" ref="AD8:AD71" si="10">I8</f>
        <v>4.8130841121495198</v>
      </c>
      <c r="AE8" s="30"/>
      <c r="AF8" s="30"/>
    </row>
    <row r="9" spans="1:32" x14ac:dyDescent="0.2">
      <c r="A9" s="9" t="s">
        <v>13</v>
      </c>
      <c r="B9" s="10">
        <v>2629</v>
      </c>
      <c r="C9" s="9">
        <f>SUMIF('2015 Factor % to units'!$B:$B,$B9,'2015 Factor % to units'!$G:$G)</f>
        <v>162.29675810473813</v>
      </c>
      <c r="D9" s="9">
        <f>SUMIF('2015 Factor % to units'!$B:$B,$B9,'2015 Factor % to units'!$X:$X)</f>
        <v>0.98853211009174491</v>
      </c>
      <c r="E9" s="9">
        <f>SUMIF('2015 Factor % to units'!$B:$B,$B9,'2015 Factor % to units'!$Z:$Z)</f>
        <v>28.667431192660548</v>
      </c>
      <c r="F9" s="9">
        <f>SUMIF('2015 Factor % to units'!$B:$B,$B9,'2015 Factor % to units'!$AB:$AB)</f>
        <v>123.56651376146789</v>
      </c>
      <c r="G9" s="9">
        <f>SUMIF('2015 Factor % to units'!$B:$B,$B9,'2015 Factor % to units'!$AD:$AD)</f>
        <v>199.68348623853211</v>
      </c>
      <c r="H9" s="9">
        <f>SUMIF('2015 Factor % to units'!$B:$B,$B9,'2015 Factor % to units'!$AF:$AF)</f>
        <v>59.311926605504773</v>
      </c>
      <c r="I9" s="9">
        <f>SUMIF('2015 Factor % to units'!$B:$B,$B9,'2015 Factor % to units'!$AH:$AH)</f>
        <v>8.8967889908256943</v>
      </c>
      <c r="J9" s="1016">
        <f t="shared" si="2"/>
        <v>583.41143700382088</v>
      </c>
      <c r="K9" s="1016">
        <f t="shared" si="0"/>
        <v>151562.72995141317</v>
      </c>
      <c r="L9" s="1016"/>
      <c r="M9" s="1017">
        <f t="shared" si="1"/>
        <v>208250.01114796012</v>
      </c>
      <c r="N9" s="1017"/>
      <c r="O9" s="1018">
        <f t="shared" si="3"/>
        <v>359812.74109937332</v>
      </c>
      <c r="P9" s="1018"/>
      <c r="Q9" s="1018"/>
      <c r="R9" s="1021">
        <f t="shared" si="4"/>
        <v>162.29675810473813</v>
      </c>
      <c r="S9" s="9"/>
      <c r="T9" s="9">
        <f t="shared" si="5"/>
        <v>0.98853211009174491</v>
      </c>
      <c r="U9" s="9"/>
      <c r="V9" s="9">
        <f t="shared" si="6"/>
        <v>28.667431192660548</v>
      </c>
      <c r="W9" s="9"/>
      <c r="X9" s="9">
        <f t="shared" si="7"/>
        <v>123.56651376146789</v>
      </c>
      <c r="Y9" s="9"/>
      <c r="Z9" s="11">
        <f t="shared" si="8"/>
        <v>199.68348623853211</v>
      </c>
      <c r="AA9" s="30"/>
      <c r="AB9" s="11">
        <f t="shared" si="9"/>
        <v>59.311926605504773</v>
      </c>
      <c r="AC9" s="30"/>
      <c r="AD9" s="11">
        <f t="shared" si="10"/>
        <v>8.8967889908256943</v>
      </c>
      <c r="AE9" s="30"/>
      <c r="AF9" s="30"/>
    </row>
    <row r="10" spans="1:32" x14ac:dyDescent="0.2">
      <c r="A10" s="9" t="s">
        <v>14</v>
      </c>
      <c r="B10" s="10">
        <v>2509</v>
      </c>
      <c r="C10" s="9">
        <f>SUMIF('2015 Factor % to units'!$B:$B,$B10,'2015 Factor % to units'!$G:$G)</f>
        <v>54</v>
      </c>
      <c r="D10" s="9">
        <f>SUMIF('2015 Factor % to units'!$B:$B,$B10,'2015 Factor % to units'!$X:$X)</f>
        <v>8.0412371134020706</v>
      </c>
      <c r="E10" s="9">
        <f>SUMIF('2015 Factor % to units'!$B:$B,$B10,'2015 Factor % to units'!$Z:$Z)</f>
        <v>1.0051546391752573</v>
      </c>
      <c r="F10" s="9">
        <f>SUMIF('2015 Factor % to units'!$B:$B,$B10,'2015 Factor % to units'!$AB:$AB)</f>
        <v>65.335051546391838</v>
      </c>
      <c r="G10" s="9">
        <f>SUMIF('2015 Factor % to units'!$B:$B,$B10,'2015 Factor % to units'!$AD:$AD)</f>
        <v>25.128865979381388</v>
      </c>
      <c r="H10" s="9">
        <f>SUMIF('2015 Factor % to units'!$B:$B,$B10,'2015 Factor % to units'!$AF:$AF)</f>
        <v>2.0103092783505225</v>
      </c>
      <c r="I10" s="9">
        <f>SUMIF('2015 Factor % to units'!$B:$B,$B10,'2015 Factor % to units'!$AH:$AH)</f>
        <v>19.097938144329898</v>
      </c>
      <c r="J10" s="1016">
        <f t="shared" si="2"/>
        <v>174.618556701031</v>
      </c>
      <c r="K10" s="1016">
        <f t="shared" si="0"/>
        <v>50428.532972263813</v>
      </c>
      <c r="L10" s="1016"/>
      <c r="M10" s="1017">
        <f t="shared" si="1"/>
        <v>55834.079407770114</v>
      </c>
      <c r="N10" s="1017"/>
      <c r="O10" s="1018">
        <f t="shared" si="3"/>
        <v>106262.61238003393</v>
      </c>
      <c r="P10" s="1018"/>
      <c r="Q10" s="1018"/>
      <c r="R10" s="1021">
        <f t="shared" si="4"/>
        <v>54</v>
      </c>
      <c r="S10" s="9"/>
      <c r="T10" s="9">
        <f t="shared" si="5"/>
        <v>8.0412371134020706</v>
      </c>
      <c r="U10" s="9"/>
      <c r="V10" s="9">
        <f t="shared" si="6"/>
        <v>1.0051546391752573</v>
      </c>
      <c r="W10" s="9"/>
      <c r="X10" s="9">
        <f t="shared" si="7"/>
        <v>65.335051546391838</v>
      </c>
      <c r="Y10" s="9"/>
      <c r="Z10" s="11">
        <f t="shared" si="8"/>
        <v>25.128865979381388</v>
      </c>
      <c r="AA10" s="30"/>
      <c r="AB10" s="11">
        <f t="shared" si="9"/>
        <v>2.0103092783505225</v>
      </c>
      <c r="AC10" s="30"/>
      <c r="AD10" s="11">
        <f t="shared" si="10"/>
        <v>19.097938144329898</v>
      </c>
      <c r="AE10" s="30"/>
      <c r="AF10" s="30"/>
    </row>
    <row r="11" spans="1:32" x14ac:dyDescent="0.2">
      <c r="A11" s="9" t="s">
        <v>15</v>
      </c>
      <c r="B11" s="10">
        <v>2005</v>
      </c>
      <c r="C11" s="9">
        <f>SUMIF('2015 Factor % to units'!$B:$B,$B11,'2015 Factor % to units'!$G:$G)</f>
        <v>151.14743589743591</v>
      </c>
      <c r="D11" s="9">
        <f>SUMIF('2015 Factor % to units'!$B:$B,$B11,'2015 Factor % to units'!$X:$X)</f>
        <v>15.093457943925227</v>
      </c>
      <c r="E11" s="9">
        <f>SUMIF('2015 Factor % to units'!$B:$B,$B11,'2015 Factor % to units'!$Z:$Z)</f>
        <v>93.579439252336357</v>
      </c>
      <c r="F11" s="9">
        <f>SUMIF('2015 Factor % to units'!$B:$B,$B11,'2015 Factor % to units'!$AB:$AB)</f>
        <v>111.69158878504658</v>
      </c>
      <c r="G11" s="9">
        <f>SUMIF('2015 Factor % to units'!$B:$B,$B11,'2015 Factor % to units'!$AD:$AD)</f>
        <v>56.348909657320824</v>
      </c>
      <c r="H11" s="9">
        <f>SUMIF('2015 Factor % to units'!$B:$B,$B11,'2015 Factor % to units'!$AF:$AF)</f>
        <v>37.230529595015526</v>
      </c>
      <c r="I11" s="9">
        <f>SUMIF('2015 Factor % to units'!$B:$B,$B11,'2015 Factor % to units'!$AH:$AH)</f>
        <v>1.006230529595016</v>
      </c>
      <c r="J11" s="1016">
        <f t="shared" si="2"/>
        <v>466.09759166067545</v>
      </c>
      <c r="K11" s="1016">
        <f t="shared" si="0"/>
        <v>141150.80471901811</v>
      </c>
      <c r="L11" s="1016"/>
      <c r="M11" s="1017">
        <f t="shared" si="1"/>
        <v>125471.29084388995</v>
      </c>
      <c r="N11" s="1017"/>
      <c r="O11" s="1018">
        <f t="shared" si="3"/>
        <v>266622.09556290804</v>
      </c>
      <c r="P11" s="1018"/>
      <c r="Q11" s="1018"/>
      <c r="R11" s="1021">
        <f t="shared" si="4"/>
        <v>151.14743589743591</v>
      </c>
      <c r="S11" s="9"/>
      <c r="T11" s="9">
        <f t="shared" si="5"/>
        <v>15.093457943925227</v>
      </c>
      <c r="U11" s="9"/>
      <c r="V11" s="9">
        <f t="shared" si="6"/>
        <v>93.579439252336357</v>
      </c>
      <c r="W11" s="9"/>
      <c r="X11" s="9">
        <f t="shared" si="7"/>
        <v>111.69158878504658</v>
      </c>
      <c r="Y11" s="9"/>
      <c r="Z11" s="11">
        <f t="shared" si="8"/>
        <v>56.348909657320824</v>
      </c>
      <c r="AA11" s="30"/>
      <c r="AB11" s="11">
        <f t="shared" si="9"/>
        <v>37.230529595015526</v>
      </c>
      <c r="AC11" s="30"/>
      <c r="AD11" s="11">
        <f t="shared" si="10"/>
        <v>1.006230529595016</v>
      </c>
      <c r="AE11" s="30"/>
      <c r="AF11" s="30"/>
    </row>
    <row r="12" spans="1:32" x14ac:dyDescent="0.2">
      <c r="A12" s="9" t="s">
        <v>16</v>
      </c>
      <c r="B12" s="10">
        <v>2464</v>
      </c>
      <c r="C12" s="9">
        <f>SUMIF('2015 Factor % to units'!$B:$B,$B12,'2015 Factor % to units'!$G:$G)</f>
        <v>67.047619047619037</v>
      </c>
      <c r="D12" s="9">
        <f>SUMIF('2015 Factor % to units'!$B:$B,$B12,'2015 Factor % to units'!$X:$X)</f>
        <v>48.999999999999929</v>
      </c>
      <c r="E12" s="9">
        <f>SUMIF('2015 Factor % to units'!$B:$B,$B12,'2015 Factor % to units'!$Z:$Z)</f>
        <v>111</v>
      </c>
      <c r="F12" s="9">
        <f>SUMIF('2015 Factor % to units'!$B:$B,$B12,'2015 Factor % to units'!$AB:$AB)</f>
        <v>2.0000000000000067</v>
      </c>
      <c r="G12" s="9">
        <f>SUMIF('2015 Factor % to units'!$B:$B,$B12,'2015 Factor % to units'!$AD:$AD)</f>
        <v>0.99999999999999933</v>
      </c>
      <c r="H12" s="9">
        <f>SUMIF('2015 Factor % to units'!$B:$B,$B12,'2015 Factor % to units'!$AF:$AF)</f>
        <v>2.0000000000000067</v>
      </c>
      <c r="I12" s="9">
        <f>SUMIF('2015 Factor % to units'!$B:$B,$B12,'2015 Factor % to units'!$AH:$AH)</f>
        <v>0</v>
      </c>
      <c r="J12" s="1016">
        <f t="shared" si="2"/>
        <v>232.04761904761898</v>
      </c>
      <c r="K12" s="1016">
        <f t="shared" si="0"/>
        <v>62613.204960271112</v>
      </c>
      <c r="L12" s="1016"/>
      <c r="M12" s="1017">
        <f t="shared" si="1"/>
        <v>34844.797346939056</v>
      </c>
      <c r="N12" s="1017"/>
      <c r="O12" s="1018">
        <f t="shared" si="3"/>
        <v>97458.002307210176</v>
      </c>
      <c r="P12" s="1018"/>
      <c r="Q12" s="1018"/>
      <c r="R12" s="1021">
        <f t="shared" si="4"/>
        <v>67.047619047619037</v>
      </c>
      <c r="S12" s="9"/>
      <c r="T12" s="9">
        <f t="shared" si="5"/>
        <v>48.999999999999929</v>
      </c>
      <c r="U12" s="9"/>
      <c r="V12" s="9">
        <f t="shared" si="6"/>
        <v>111</v>
      </c>
      <c r="W12" s="9"/>
      <c r="X12" s="9">
        <f t="shared" si="7"/>
        <v>2.0000000000000067</v>
      </c>
      <c r="Y12" s="9"/>
      <c r="Z12" s="11">
        <f t="shared" si="8"/>
        <v>0.99999999999999933</v>
      </c>
      <c r="AA12" s="30"/>
      <c r="AB12" s="11">
        <f t="shared" si="9"/>
        <v>2.0000000000000067</v>
      </c>
      <c r="AC12" s="30"/>
      <c r="AD12" s="11">
        <f t="shared" si="10"/>
        <v>0</v>
      </c>
      <c r="AE12" s="30"/>
      <c r="AF12" s="30"/>
    </row>
    <row r="13" spans="1:32" x14ac:dyDescent="0.2">
      <c r="A13" s="9" t="s">
        <v>17</v>
      </c>
      <c r="B13" s="10">
        <v>2004</v>
      </c>
      <c r="C13" s="9">
        <f>SUMIF('2015 Factor % to units'!$B:$B,$B13,'2015 Factor % to units'!$G:$G)</f>
        <v>184.49612403100775</v>
      </c>
      <c r="D13" s="9">
        <f>SUMIF('2015 Factor % to units'!$B:$B,$B13,'2015 Factor % to units'!$X:$X)</f>
        <v>28.631578947368464</v>
      </c>
      <c r="E13" s="9">
        <f>SUMIF('2015 Factor % to units'!$B:$B,$B13,'2015 Factor % to units'!$Z:$Z)</f>
        <v>26.586466165413526</v>
      </c>
      <c r="F13" s="9">
        <f>SUMIF('2015 Factor % to units'!$B:$B,$B13,'2015 Factor % to units'!$AB:$AB)</f>
        <v>24.541353383458638</v>
      </c>
      <c r="G13" s="9">
        <f>SUMIF('2015 Factor % to units'!$B:$B,$B13,'2015 Factor % to units'!$AD:$AD)</f>
        <v>6.1353383458646595</v>
      </c>
      <c r="H13" s="9">
        <f>SUMIF('2015 Factor % to units'!$B:$B,$B13,'2015 Factor % to units'!$AF:$AF)</f>
        <v>162.58646616541364</v>
      </c>
      <c r="I13" s="9">
        <f>SUMIF('2015 Factor % to units'!$B:$B,$B13,'2015 Factor % to units'!$AH:$AH)</f>
        <v>5.1127819548872155</v>
      </c>
      <c r="J13" s="1016">
        <f t="shared" si="2"/>
        <v>438.09010899341393</v>
      </c>
      <c r="K13" s="1016">
        <f t="shared" si="0"/>
        <v>172293.8680361583</v>
      </c>
      <c r="L13" s="1016"/>
      <c r="M13" s="1017">
        <f t="shared" si="1"/>
        <v>178662.21858428797</v>
      </c>
      <c r="N13" s="1017"/>
      <c r="O13" s="1018">
        <f t="shared" si="3"/>
        <v>350956.08662044629</v>
      </c>
      <c r="P13" s="1018"/>
      <c r="Q13" s="1018"/>
      <c r="R13" s="1021">
        <f t="shared" si="4"/>
        <v>184.49612403100775</v>
      </c>
      <c r="S13" s="9"/>
      <c r="T13" s="9">
        <f t="shared" si="5"/>
        <v>28.631578947368464</v>
      </c>
      <c r="U13" s="9"/>
      <c r="V13" s="9">
        <f t="shared" si="6"/>
        <v>26.586466165413526</v>
      </c>
      <c r="W13" s="9"/>
      <c r="X13" s="9">
        <f t="shared" si="7"/>
        <v>24.541353383458638</v>
      </c>
      <c r="Y13" s="9"/>
      <c r="Z13" s="11">
        <f t="shared" si="8"/>
        <v>6.1353383458646595</v>
      </c>
      <c r="AA13" s="30"/>
      <c r="AB13" s="11">
        <f t="shared" si="9"/>
        <v>162.58646616541364</v>
      </c>
      <c r="AC13" s="30"/>
      <c r="AD13" s="11">
        <f t="shared" si="10"/>
        <v>5.1127819548872155</v>
      </c>
      <c r="AE13" s="30"/>
      <c r="AF13" s="30"/>
    </row>
    <row r="14" spans="1:32" x14ac:dyDescent="0.2">
      <c r="A14" s="9" t="s">
        <v>18</v>
      </c>
      <c r="B14" s="10">
        <v>2405</v>
      </c>
      <c r="C14" s="9">
        <f>SUMIF('2015 Factor % to units'!$B:$B,$B14,'2015 Factor % to units'!$G:$G)</f>
        <v>102.04615384615384</v>
      </c>
      <c r="D14" s="9">
        <f>SUMIF('2015 Factor % to units'!$B:$B,$B14,'2015 Factor % to units'!$X:$X)</f>
        <v>0.97101449275362417</v>
      </c>
      <c r="E14" s="9">
        <f>SUMIF('2015 Factor % to units'!$B:$B,$B14,'2015 Factor % to units'!$Z:$Z)</f>
        <v>31.072463768115874</v>
      </c>
      <c r="F14" s="9">
        <f>SUMIF('2015 Factor % to units'!$B:$B,$B14,'2015 Factor % to units'!$AB:$AB)</f>
        <v>109.72463768115938</v>
      </c>
      <c r="G14" s="9">
        <f>SUMIF('2015 Factor % to units'!$B:$B,$B14,'2015 Factor % to units'!$AD:$AD)</f>
        <v>4.8550724637681206</v>
      </c>
      <c r="H14" s="9">
        <f>SUMIF('2015 Factor % to units'!$B:$B,$B14,'2015 Factor % to units'!$AF:$AF)</f>
        <v>43.695652173913025</v>
      </c>
      <c r="I14" s="9">
        <f>SUMIF('2015 Factor % to units'!$B:$B,$B14,'2015 Factor % to units'!$AH:$AH)</f>
        <v>5.8260869565217375</v>
      </c>
      <c r="J14" s="1016">
        <f t="shared" si="2"/>
        <v>298.19108138238562</v>
      </c>
      <c r="K14" s="1016">
        <f t="shared" si="0"/>
        <v>95296.996924508785</v>
      </c>
      <c r="L14" s="1016"/>
      <c r="M14" s="1017">
        <f t="shared" si="1"/>
        <v>94870.498816233609</v>
      </c>
      <c r="N14" s="1017"/>
      <c r="O14" s="1018">
        <f t="shared" si="3"/>
        <v>190167.49574074239</v>
      </c>
      <c r="P14" s="1018"/>
      <c r="Q14" s="1018"/>
      <c r="R14" s="1021">
        <f t="shared" si="4"/>
        <v>102.04615384615384</v>
      </c>
      <c r="S14" s="9"/>
      <c r="T14" s="9">
        <f t="shared" si="5"/>
        <v>0.97101449275362417</v>
      </c>
      <c r="U14" s="9"/>
      <c r="V14" s="9">
        <f t="shared" si="6"/>
        <v>31.072463768115874</v>
      </c>
      <c r="W14" s="9"/>
      <c r="X14" s="9">
        <f t="shared" si="7"/>
        <v>109.72463768115938</v>
      </c>
      <c r="Y14" s="9"/>
      <c r="Z14" s="11">
        <f t="shared" si="8"/>
        <v>4.8550724637681206</v>
      </c>
      <c r="AA14" s="30"/>
      <c r="AB14" s="11">
        <f t="shared" si="9"/>
        <v>43.695652173913025</v>
      </c>
      <c r="AC14" s="30"/>
      <c r="AD14" s="11">
        <f t="shared" si="10"/>
        <v>5.8260869565217375</v>
      </c>
      <c r="AE14" s="30"/>
      <c r="AF14" s="30"/>
    </row>
    <row r="15" spans="1:32" x14ac:dyDescent="0.2">
      <c r="A15" s="9" t="s">
        <v>95</v>
      </c>
      <c r="B15" s="10">
        <v>2011</v>
      </c>
      <c r="C15" s="9">
        <f>SUMIF('2015 Factor % to units'!$B:$B,$B15,'2015 Factor % to units'!$G:$G)</f>
        <v>70.990384615384613</v>
      </c>
      <c r="D15" s="9">
        <f>SUMIF('2015 Factor % to units'!$B:$B,$B15,'2015 Factor % to units'!$X:$X)</f>
        <v>0</v>
      </c>
      <c r="E15" s="9">
        <f>SUMIF('2015 Factor % to units'!$B:$B,$B15,'2015 Factor % to units'!$Z:$Z)</f>
        <v>90.999999999999986</v>
      </c>
      <c r="F15" s="9">
        <f>SUMIF('2015 Factor % to units'!$B:$B,$B15,'2015 Factor % to units'!$AB:$AB)</f>
        <v>67.999999999999915</v>
      </c>
      <c r="G15" s="9">
        <f>SUMIF('2015 Factor % to units'!$B:$B,$B15,'2015 Factor % to units'!$AD:$AD)</f>
        <v>8.9999999999999929</v>
      </c>
      <c r="H15" s="9">
        <f>SUMIF('2015 Factor % to units'!$B:$B,$B15,'2015 Factor % to units'!$AF:$AF)</f>
        <v>18.000000000000004</v>
      </c>
      <c r="I15" s="9">
        <f>SUMIF('2015 Factor % to units'!$B:$B,$B15,'2015 Factor % to units'!$AH:$AH)</f>
        <v>0.99999999999999956</v>
      </c>
      <c r="J15" s="1016">
        <f t="shared" si="2"/>
        <v>257.99038461538453</v>
      </c>
      <c r="K15" s="1016">
        <f t="shared" si="0"/>
        <v>66295.20280167801</v>
      </c>
      <c r="L15" s="1016"/>
      <c r="M15" s="1017">
        <f t="shared" si="1"/>
        <v>67388.849243603763</v>
      </c>
      <c r="N15" s="1017"/>
      <c r="O15" s="1018">
        <f t="shared" si="3"/>
        <v>133684.05204528177</v>
      </c>
      <c r="P15" s="1018"/>
      <c r="Q15" s="1018"/>
      <c r="R15" s="1021">
        <f t="shared" si="4"/>
        <v>70.990384615384613</v>
      </c>
      <c r="S15" s="9"/>
      <c r="T15" s="9">
        <f t="shared" si="5"/>
        <v>0</v>
      </c>
      <c r="U15" s="9"/>
      <c r="V15" s="9">
        <f t="shared" si="6"/>
        <v>90.999999999999986</v>
      </c>
      <c r="W15" s="9"/>
      <c r="X15" s="9">
        <f t="shared" si="7"/>
        <v>67.999999999999915</v>
      </c>
      <c r="Y15" s="9"/>
      <c r="Z15" s="11">
        <f t="shared" si="8"/>
        <v>8.9999999999999929</v>
      </c>
      <c r="AA15" s="30"/>
      <c r="AB15" s="11">
        <f t="shared" si="9"/>
        <v>18.000000000000004</v>
      </c>
      <c r="AC15" s="30"/>
      <c r="AD15" s="11">
        <f t="shared" si="10"/>
        <v>0.99999999999999956</v>
      </c>
      <c r="AE15" s="30"/>
      <c r="AF15" s="30"/>
    </row>
    <row r="16" spans="1:32" x14ac:dyDescent="0.2">
      <c r="A16" s="9" t="s">
        <v>20</v>
      </c>
      <c r="B16" s="10">
        <v>5201</v>
      </c>
      <c r="C16" s="9">
        <f>SUMIF('2015 Factor % to units'!$B:$B,$B16,'2015 Factor % to units'!$G:$G)</f>
        <v>58.19444444444445</v>
      </c>
      <c r="D16" s="9">
        <f>SUMIF('2015 Factor % to units'!$B:$B,$B16,'2015 Factor % to units'!$X:$X)</f>
        <v>42.00000000000005</v>
      </c>
      <c r="E16" s="9">
        <f>SUMIF('2015 Factor % to units'!$B:$B,$B16,'2015 Factor % to units'!$Z:$Z)</f>
        <v>84.000000000000099</v>
      </c>
      <c r="F16" s="9">
        <f>SUMIF('2015 Factor % to units'!$B:$B,$B16,'2015 Factor % to units'!$AB:$AB)</f>
        <v>6.9999999999999813</v>
      </c>
      <c r="G16" s="9">
        <f>SUMIF('2015 Factor % to units'!$B:$B,$B16,'2015 Factor % to units'!$AD:$AD)</f>
        <v>6.9999999999999813</v>
      </c>
      <c r="H16" s="9">
        <f>SUMIF('2015 Factor % to units'!$B:$B,$B16,'2015 Factor % to units'!$AF:$AF)</f>
        <v>4</v>
      </c>
      <c r="I16" s="9">
        <f>SUMIF('2015 Factor % to units'!$B:$B,$B16,'2015 Factor % to units'!$AH:$AH)</f>
        <v>1.000000000000002</v>
      </c>
      <c r="J16" s="1016">
        <f t="shared" si="2"/>
        <v>203.19444444444454</v>
      </c>
      <c r="K16" s="1016">
        <f t="shared" si="0"/>
        <v>54345.564082763733</v>
      </c>
      <c r="L16" s="1016"/>
      <c r="M16" s="1017">
        <f t="shared" si="1"/>
        <v>35087.020793819378</v>
      </c>
      <c r="N16" s="1017"/>
      <c r="O16" s="1018">
        <f t="shared" si="3"/>
        <v>89432.584876583103</v>
      </c>
      <c r="P16" s="1018"/>
      <c r="Q16" s="1018"/>
      <c r="R16" s="1021">
        <f t="shared" si="4"/>
        <v>58.19444444444445</v>
      </c>
      <c r="S16" s="9"/>
      <c r="T16" s="9">
        <f t="shared" si="5"/>
        <v>42.00000000000005</v>
      </c>
      <c r="U16" s="9"/>
      <c r="V16" s="9">
        <f t="shared" si="6"/>
        <v>84.000000000000099</v>
      </c>
      <c r="W16" s="9"/>
      <c r="X16" s="9">
        <f t="shared" si="7"/>
        <v>6.9999999999999813</v>
      </c>
      <c r="Y16" s="9"/>
      <c r="Z16" s="11">
        <f t="shared" si="8"/>
        <v>6.9999999999999813</v>
      </c>
      <c r="AA16" s="30"/>
      <c r="AB16" s="11">
        <f t="shared" si="9"/>
        <v>4</v>
      </c>
      <c r="AC16" s="30"/>
      <c r="AD16" s="11">
        <f t="shared" si="10"/>
        <v>1.000000000000002</v>
      </c>
      <c r="AE16" s="30"/>
      <c r="AF16" s="30"/>
    </row>
    <row r="17" spans="1:32" x14ac:dyDescent="0.2">
      <c r="A17" s="9" t="s">
        <v>96</v>
      </c>
      <c r="B17" s="10">
        <v>2007</v>
      </c>
      <c r="C17" s="9">
        <f>SUMIF('2015 Factor % to units'!$B:$B,$B17,'2015 Factor % to units'!$G:$G)</f>
        <v>170.42424242424241</v>
      </c>
      <c r="D17" s="9">
        <f>SUMIF('2015 Factor % to units'!$B:$B,$B17,'2015 Factor % to units'!$X:$X)</f>
        <v>3.0198675496688754</v>
      </c>
      <c r="E17" s="9">
        <f>SUMIF('2015 Factor % to units'!$B:$B,$B17,'2015 Factor % to units'!$Z:$Z)</f>
        <v>22.14569536423841</v>
      </c>
      <c r="F17" s="9">
        <f>SUMIF('2015 Factor % to units'!$B:$B,$B17,'2015 Factor % to units'!$AB:$AB)</f>
        <v>32.211920529801247</v>
      </c>
      <c r="G17" s="9">
        <f>SUMIF('2015 Factor % to units'!$B:$B,$B17,'2015 Factor % to units'!$AD:$AD)</f>
        <v>134.88741721854299</v>
      </c>
      <c r="H17" s="9">
        <f>SUMIF('2015 Factor % to units'!$B:$B,$B17,'2015 Factor % to units'!$AF:$AF)</f>
        <v>58.384105960264804</v>
      </c>
      <c r="I17" s="9">
        <f>SUMIF('2015 Factor % to units'!$B:$B,$B17,'2015 Factor % to units'!$AH:$AH)</f>
        <v>18.119205298013242</v>
      </c>
      <c r="J17" s="1016">
        <f t="shared" si="2"/>
        <v>439.19245434477199</v>
      </c>
      <c r="K17" s="1016">
        <f t="shared" si="0"/>
        <v>159152.67645118499</v>
      </c>
      <c r="L17" s="1016"/>
      <c r="M17" s="1017">
        <f t="shared" si="1"/>
        <v>152123.77737481383</v>
      </c>
      <c r="N17" s="1017"/>
      <c r="O17" s="1018">
        <f t="shared" si="3"/>
        <v>311276.45382599882</v>
      </c>
      <c r="P17" s="1018"/>
      <c r="Q17" s="1018"/>
      <c r="R17" s="1021">
        <f t="shared" si="4"/>
        <v>170.42424242424241</v>
      </c>
      <c r="S17" s="9"/>
      <c r="T17" s="9">
        <f t="shared" si="5"/>
        <v>3.0198675496688754</v>
      </c>
      <c r="U17" s="9"/>
      <c r="V17" s="9">
        <f t="shared" si="6"/>
        <v>22.14569536423841</v>
      </c>
      <c r="W17" s="9"/>
      <c r="X17" s="9">
        <f t="shared" si="7"/>
        <v>32.211920529801247</v>
      </c>
      <c r="Y17" s="9"/>
      <c r="Z17" s="11">
        <f t="shared" si="8"/>
        <v>134.88741721854299</v>
      </c>
      <c r="AA17" s="30"/>
      <c r="AB17" s="11">
        <f t="shared" si="9"/>
        <v>58.384105960264804</v>
      </c>
      <c r="AC17" s="30"/>
      <c r="AD17" s="11">
        <f t="shared" si="10"/>
        <v>18.119205298013242</v>
      </c>
      <c r="AE17" s="30"/>
      <c r="AF17" s="30"/>
    </row>
    <row r="18" spans="1:32" x14ac:dyDescent="0.2">
      <c r="A18" s="9" t="s">
        <v>21</v>
      </c>
      <c r="B18" s="10">
        <v>2433</v>
      </c>
      <c r="C18" s="9">
        <f>SUMIF('2015 Factor % to units'!$B:$B,$B18,'2015 Factor % to units'!$G:$G)</f>
        <v>72.328205128205127</v>
      </c>
      <c r="D18" s="9">
        <f>SUMIF('2015 Factor % to units'!$B:$B,$B18,'2015 Factor % to units'!$X:$X)</f>
        <v>27.9390862944162</v>
      </c>
      <c r="E18" s="9">
        <f>SUMIF('2015 Factor % to units'!$B:$B,$B18,'2015 Factor % to units'!$Z:$Z)</f>
        <v>50.639593908629386</v>
      </c>
      <c r="F18" s="9">
        <f>SUMIF('2015 Factor % to units'!$B:$B,$B18,'2015 Factor % to units'!$AB:$AB)</f>
        <v>48.02030456852787</v>
      </c>
      <c r="G18" s="9">
        <f>SUMIF('2015 Factor % to units'!$B:$B,$B18,'2015 Factor % to units'!$AD:$AD)</f>
        <v>9.6040609137055917</v>
      </c>
      <c r="H18" s="9">
        <f>SUMIF('2015 Factor % to units'!$B:$B,$B18,'2015 Factor % to units'!$AF:$AF)</f>
        <v>22.700507614213183</v>
      </c>
      <c r="I18" s="9">
        <f>SUMIF('2015 Factor % to units'!$B:$B,$B18,'2015 Factor % to units'!$AH:$AH)</f>
        <v>1.7461928934010169</v>
      </c>
      <c r="J18" s="1016">
        <f t="shared" si="2"/>
        <v>232.9779513210984</v>
      </c>
      <c r="K18" s="1016">
        <f t="shared" si="0"/>
        <v>67544.542169117645</v>
      </c>
      <c r="L18" s="1016"/>
      <c r="M18" s="1017">
        <f t="shared" si="1"/>
        <v>59556.543494131489</v>
      </c>
      <c r="N18" s="1017"/>
      <c r="O18" s="1018">
        <f t="shared" si="3"/>
        <v>127101.08566324913</v>
      </c>
      <c r="P18" s="1018"/>
      <c r="Q18" s="1018"/>
      <c r="R18" s="1021">
        <f t="shared" si="4"/>
        <v>72.328205128205127</v>
      </c>
      <c r="S18" s="9"/>
      <c r="T18" s="9">
        <f t="shared" si="5"/>
        <v>27.9390862944162</v>
      </c>
      <c r="U18" s="9"/>
      <c r="V18" s="9">
        <f t="shared" si="6"/>
        <v>50.639593908629386</v>
      </c>
      <c r="W18" s="9"/>
      <c r="X18" s="9">
        <f t="shared" si="7"/>
        <v>48.02030456852787</v>
      </c>
      <c r="Y18" s="9"/>
      <c r="Z18" s="11">
        <f t="shared" si="8"/>
        <v>9.6040609137055917</v>
      </c>
      <c r="AA18" s="30"/>
      <c r="AB18" s="11">
        <f t="shared" si="9"/>
        <v>22.700507614213183</v>
      </c>
      <c r="AC18" s="30"/>
      <c r="AD18" s="11">
        <f t="shared" si="10"/>
        <v>1.7461928934010169</v>
      </c>
      <c r="AE18" s="30"/>
      <c r="AF18" s="30"/>
    </row>
    <row r="19" spans="1:32" x14ac:dyDescent="0.2">
      <c r="A19" s="9" t="s">
        <v>22</v>
      </c>
      <c r="B19" s="10">
        <v>2432</v>
      </c>
      <c r="C19" s="9">
        <f>SUMIF('2015 Factor % to units'!$B:$B,$B19,'2015 Factor % to units'!$G:$G)</f>
        <v>99.9375</v>
      </c>
      <c r="D19" s="9">
        <f>SUMIF('2015 Factor % to units'!$B:$B,$B19,'2015 Factor % to units'!$X:$X)</f>
        <v>47.242798353909393</v>
      </c>
      <c r="E19" s="9">
        <f>SUMIF('2015 Factor % to units'!$B:$B,$B19,'2015 Factor % to units'!$Z:$Z)</f>
        <v>39.650205761316812</v>
      </c>
      <c r="F19" s="9">
        <f>SUMIF('2015 Factor % to units'!$B:$B,$B19,'2015 Factor % to units'!$AB:$AB)</f>
        <v>57.366255144032912</v>
      </c>
      <c r="G19" s="9">
        <f>SUMIF('2015 Factor % to units'!$B:$B,$B19,'2015 Factor % to units'!$AD:$AD)</f>
        <v>7.5925925925925855</v>
      </c>
      <c r="H19" s="9">
        <f>SUMIF('2015 Factor % to units'!$B:$B,$B19,'2015 Factor % to units'!$AF:$AF)</f>
        <v>27.839506172839407</v>
      </c>
      <c r="I19" s="9">
        <f>SUMIF('2015 Factor % to units'!$B:$B,$B19,'2015 Factor % to units'!$AH:$AH)</f>
        <v>3.3744855967078107</v>
      </c>
      <c r="J19" s="1016">
        <f t="shared" si="2"/>
        <v>283.00334362139893</v>
      </c>
      <c r="K19" s="1016">
        <f t="shared" si="0"/>
        <v>93327.805813252126</v>
      </c>
      <c r="L19" s="1016"/>
      <c r="M19" s="1017">
        <f t="shared" si="1"/>
        <v>67948.401720907059</v>
      </c>
      <c r="N19" s="1017"/>
      <c r="O19" s="1018">
        <f t="shared" si="3"/>
        <v>161276.20753415918</v>
      </c>
      <c r="P19" s="1018"/>
      <c r="Q19" s="1018"/>
      <c r="R19" s="1021">
        <f t="shared" si="4"/>
        <v>99.9375</v>
      </c>
      <c r="S19" s="9"/>
      <c r="T19" s="9">
        <f t="shared" si="5"/>
        <v>47.242798353909393</v>
      </c>
      <c r="U19" s="9"/>
      <c r="V19" s="9">
        <f t="shared" si="6"/>
        <v>39.650205761316812</v>
      </c>
      <c r="W19" s="9"/>
      <c r="X19" s="9">
        <f t="shared" si="7"/>
        <v>57.366255144032912</v>
      </c>
      <c r="Y19" s="9"/>
      <c r="Z19" s="11">
        <f t="shared" si="8"/>
        <v>7.5925925925925855</v>
      </c>
      <c r="AA19" s="30"/>
      <c r="AB19" s="11">
        <f t="shared" si="9"/>
        <v>27.839506172839407</v>
      </c>
      <c r="AC19" s="30"/>
      <c r="AD19" s="11">
        <f t="shared" si="10"/>
        <v>3.3744855967078107</v>
      </c>
      <c r="AE19" s="30"/>
      <c r="AF19" s="30"/>
    </row>
    <row r="20" spans="1:32" x14ac:dyDescent="0.2">
      <c r="A20" s="9" t="s">
        <v>1028</v>
      </c>
      <c r="B20" s="10">
        <v>2447</v>
      </c>
      <c r="C20" s="9">
        <f>SUMIF('2015 Factor % to units'!$B:$B,$B20,'2015 Factor % to units'!$G:$G)</f>
        <v>190.96017699115043</v>
      </c>
      <c r="D20" s="9">
        <f>SUMIF('2015 Factor % to units'!$B:$B,$B20,'2015 Factor % to units'!$X:$X)</f>
        <v>70.999999999999915</v>
      </c>
      <c r="E20" s="9">
        <f>SUMIF('2015 Factor % to units'!$B:$B,$B20,'2015 Factor % to units'!$Z:$Z)</f>
        <v>100.9999999999999</v>
      </c>
      <c r="F20" s="9">
        <f>SUMIF('2015 Factor % to units'!$B:$B,$B20,'2015 Factor % to units'!$AB:$AB)</f>
        <v>11.999999999999991</v>
      </c>
      <c r="G20" s="9">
        <f>SUMIF('2015 Factor % to units'!$B:$B,$B20,'2015 Factor % to units'!$AD:$AD)</f>
        <v>58.000000000000156</v>
      </c>
      <c r="H20" s="9">
        <f>SUMIF('2015 Factor % to units'!$B:$B,$B20,'2015 Factor % to units'!$AF:$AF)</f>
        <v>63.999999999999979</v>
      </c>
      <c r="I20" s="9">
        <f>SUMIF('2015 Factor % to units'!$B:$B,$B20,'2015 Factor % to units'!$AH:$AH)</f>
        <v>2</v>
      </c>
      <c r="J20" s="1016">
        <f t="shared" si="2"/>
        <v>498.96017699115038</v>
      </c>
      <c r="K20" s="1016">
        <f t="shared" si="0"/>
        <v>178330.39966273264</v>
      </c>
      <c r="L20" s="1016"/>
      <c r="M20" s="1017">
        <f t="shared" si="1"/>
        <v>125497.00257130935</v>
      </c>
      <c r="N20" s="1017"/>
      <c r="O20" s="1018">
        <f t="shared" si="3"/>
        <v>303827.40223404201</v>
      </c>
      <c r="P20" s="1018"/>
      <c r="Q20" s="1018"/>
      <c r="R20" s="1021">
        <f t="shared" si="4"/>
        <v>190.96017699115043</v>
      </c>
      <c r="S20" s="9"/>
      <c r="T20" s="9">
        <f t="shared" si="5"/>
        <v>70.999999999999915</v>
      </c>
      <c r="U20" s="9"/>
      <c r="V20" s="9">
        <f t="shared" si="6"/>
        <v>100.9999999999999</v>
      </c>
      <c r="W20" s="9"/>
      <c r="X20" s="9">
        <f t="shared" si="7"/>
        <v>11.999999999999991</v>
      </c>
      <c r="Y20" s="9"/>
      <c r="Z20" s="11">
        <f t="shared" si="8"/>
        <v>58.000000000000156</v>
      </c>
      <c r="AA20" s="30"/>
      <c r="AB20" s="11">
        <f t="shared" si="9"/>
        <v>63.999999999999979</v>
      </c>
      <c r="AC20" s="30"/>
      <c r="AD20" s="11">
        <f t="shared" si="10"/>
        <v>2</v>
      </c>
      <c r="AE20" s="30"/>
      <c r="AF20" s="30"/>
    </row>
    <row r="21" spans="1:32" x14ac:dyDescent="0.2">
      <c r="A21" s="9" t="s">
        <v>23</v>
      </c>
      <c r="B21" s="10">
        <v>2512</v>
      </c>
      <c r="C21" s="9">
        <f>SUMIF('2015 Factor % to units'!$B:$B,$B21,'2015 Factor % to units'!$G:$G)</f>
        <v>34.66346153846154</v>
      </c>
      <c r="D21" s="9">
        <f>SUMIF('2015 Factor % to units'!$B:$B,$B21,'2015 Factor % to units'!$X:$X)</f>
        <v>47.999999999999986</v>
      </c>
      <c r="E21" s="9">
        <f>SUMIF('2015 Factor % to units'!$B:$B,$B21,'2015 Factor % to units'!$Z:$Z)</f>
        <v>0.999999999999999</v>
      </c>
      <c r="F21" s="9">
        <f>SUMIF('2015 Factor % to units'!$B:$B,$B21,'2015 Factor % to units'!$AB:$AB)</f>
        <v>5.0000000000000053</v>
      </c>
      <c r="G21" s="9">
        <f>SUMIF('2015 Factor % to units'!$B:$B,$B21,'2015 Factor % to units'!$AD:$AD)</f>
        <v>2</v>
      </c>
      <c r="H21" s="9">
        <f>SUMIF('2015 Factor % to units'!$B:$B,$B21,'2015 Factor % to units'!$AF:$AF)</f>
        <v>0</v>
      </c>
      <c r="I21" s="9">
        <f>SUMIF('2015 Factor % to units'!$B:$B,$B21,'2015 Factor % to units'!$AH:$AH)</f>
        <v>0.999999999999999</v>
      </c>
      <c r="J21" s="1016">
        <f t="shared" si="2"/>
        <v>91.663461538461519</v>
      </c>
      <c r="K21" s="1016">
        <f t="shared" si="0"/>
        <v>32370.879872687154</v>
      </c>
      <c r="L21" s="1016"/>
      <c r="M21" s="1017">
        <f t="shared" si="1"/>
        <v>9506.1362364236738</v>
      </c>
      <c r="N21" s="1017"/>
      <c r="O21" s="1018">
        <f t="shared" si="3"/>
        <v>41877.016109110831</v>
      </c>
      <c r="P21" s="1018"/>
      <c r="Q21" s="1018"/>
      <c r="R21" s="1021">
        <f t="shared" si="4"/>
        <v>34.66346153846154</v>
      </c>
      <c r="S21" s="9"/>
      <c r="T21" s="9">
        <f t="shared" si="5"/>
        <v>47.999999999999986</v>
      </c>
      <c r="U21" s="9"/>
      <c r="V21" s="9">
        <f t="shared" si="6"/>
        <v>0.999999999999999</v>
      </c>
      <c r="W21" s="9"/>
      <c r="X21" s="9">
        <f t="shared" si="7"/>
        <v>5.0000000000000053</v>
      </c>
      <c r="Y21" s="9"/>
      <c r="Z21" s="11">
        <f t="shared" si="8"/>
        <v>2</v>
      </c>
      <c r="AA21" s="30"/>
      <c r="AB21" s="11">
        <f t="shared" si="9"/>
        <v>0</v>
      </c>
      <c r="AC21" s="30"/>
      <c r="AD21" s="11">
        <f t="shared" si="10"/>
        <v>0.999999999999999</v>
      </c>
      <c r="AE21" s="30"/>
      <c r="AF21" s="30"/>
    </row>
    <row r="22" spans="1:32" x14ac:dyDescent="0.2">
      <c r="A22" s="9" t="s">
        <v>24</v>
      </c>
      <c r="B22" s="10">
        <v>2456</v>
      </c>
      <c r="C22" s="9">
        <f>SUMIF('2015 Factor % to units'!$B:$B,$B22,'2015 Factor % to units'!$G:$G)</f>
        <v>15.169491525423728</v>
      </c>
      <c r="D22" s="9">
        <f>SUMIF('2015 Factor % to units'!$B:$B,$B22,'2015 Factor % to units'!$X:$X)</f>
        <v>12.067415730337089</v>
      </c>
      <c r="E22" s="9">
        <f>SUMIF('2015 Factor % to units'!$B:$B,$B22,'2015 Factor % to units'!$Z:$Z)</f>
        <v>1.0056179775280902</v>
      </c>
      <c r="F22" s="9">
        <f>SUMIF('2015 Factor % to units'!$B:$B,$B22,'2015 Factor % to units'!$AB:$AB)</f>
        <v>14.078651685393254</v>
      </c>
      <c r="G22" s="9">
        <f>SUMIF('2015 Factor % to units'!$B:$B,$B22,'2015 Factor % to units'!$AD:$AD)</f>
        <v>0</v>
      </c>
      <c r="H22" s="9">
        <f>SUMIF('2015 Factor % to units'!$B:$B,$B22,'2015 Factor % to units'!$AF:$AF)</f>
        <v>1.0056179775280902</v>
      </c>
      <c r="I22" s="9">
        <f>SUMIF('2015 Factor % to units'!$B:$B,$B22,'2015 Factor % to units'!$AH:$AH)</f>
        <v>1.0056179775280902</v>
      </c>
      <c r="J22" s="1016">
        <f t="shared" si="2"/>
        <v>44.332412873738342</v>
      </c>
      <c r="K22" s="1016">
        <f t="shared" si="0"/>
        <v>14166.207473376055</v>
      </c>
      <c r="L22" s="1016"/>
      <c r="M22" s="1017">
        <f t="shared" si="1"/>
        <v>8502.0036333725257</v>
      </c>
      <c r="N22" s="1017"/>
      <c r="O22" s="1018">
        <f t="shared" si="3"/>
        <v>22668.211106748582</v>
      </c>
      <c r="P22" s="1018"/>
      <c r="Q22" s="1018"/>
      <c r="R22" s="1021">
        <f t="shared" si="4"/>
        <v>15.169491525423728</v>
      </c>
      <c r="S22" s="9"/>
      <c r="T22" s="9">
        <f t="shared" si="5"/>
        <v>12.067415730337089</v>
      </c>
      <c r="U22" s="9"/>
      <c r="V22" s="9">
        <f t="shared" si="6"/>
        <v>1.0056179775280902</v>
      </c>
      <c r="W22" s="9"/>
      <c r="X22" s="9">
        <f t="shared" si="7"/>
        <v>14.078651685393254</v>
      </c>
      <c r="Y22" s="9"/>
      <c r="Z22" s="11">
        <f t="shared" si="8"/>
        <v>0</v>
      </c>
      <c r="AA22" s="30"/>
      <c r="AB22" s="11">
        <f t="shared" si="9"/>
        <v>1.0056179775280902</v>
      </c>
      <c r="AC22" s="30"/>
      <c r="AD22" s="11">
        <f t="shared" si="10"/>
        <v>1.0056179775280902</v>
      </c>
      <c r="AE22" s="30"/>
      <c r="AF22" s="30"/>
    </row>
    <row r="23" spans="1:32" x14ac:dyDescent="0.2">
      <c r="A23" s="9" t="s">
        <v>25</v>
      </c>
      <c r="B23" s="10">
        <v>2449</v>
      </c>
      <c r="C23" s="9">
        <f>SUMIF('2015 Factor % to units'!$B:$B,$B23,'2015 Factor % to units'!$G:$G)</f>
        <v>58.872180451127818</v>
      </c>
      <c r="D23" s="9">
        <f>SUMIF('2015 Factor % to units'!$B:$B,$B23,'2015 Factor % to units'!$X:$X)</f>
        <v>39.999999999999957</v>
      </c>
      <c r="E23" s="9">
        <f>SUMIF('2015 Factor % to units'!$B:$B,$B23,'2015 Factor % to units'!$Z:$Z)</f>
        <v>3.999999999999996</v>
      </c>
      <c r="F23" s="9">
        <f>SUMIF('2015 Factor % to units'!$B:$B,$B23,'2015 Factor % to units'!$AB:$AB)</f>
        <v>45.999999999999901</v>
      </c>
      <c r="G23" s="9">
        <f>SUMIF('2015 Factor % to units'!$B:$B,$B23,'2015 Factor % to units'!$AD:$AD)</f>
        <v>32.000000000000128</v>
      </c>
      <c r="H23" s="9">
        <f>SUMIF('2015 Factor % to units'!$B:$B,$B23,'2015 Factor % to units'!$AF:$AF)</f>
        <v>21.000000000000007</v>
      </c>
      <c r="I23" s="9">
        <f>SUMIF('2015 Factor % to units'!$B:$B,$B23,'2015 Factor % to units'!$AH:$AH)</f>
        <v>0</v>
      </c>
      <c r="J23" s="1016">
        <f t="shared" si="2"/>
        <v>201.8721804511278</v>
      </c>
      <c r="K23" s="1016">
        <f t="shared" si="0"/>
        <v>54978.47579682897</v>
      </c>
      <c r="L23" s="1016"/>
      <c r="M23" s="1017">
        <f t="shared" si="1"/>
        <v>56598.036240677364</v>
      </c>
      <c r="N23" s="1017"/>
      <c r="O23" s="1018">
        <f t="shared" si="3"/>
        <v>111576.51203750633</v>
      </c>
      <c r="P23" s="1018"/>
      <c r="Q23" s="1018"/>
      <c r="R23" s="1021">
        <f t="shared" si="4"/>
        <v>58.872180451127818</v>
      </c>
      <c r="S23" s="9"/>
      <c r="T23" s="9">
        <f t="shared" si="5"/>
        <v>39.999999999999957</v>
      </c>
      <c r="U23" s="9"/>
      <c r="V23" s="9">
        <f t="shared" si="6"/>
        <v>3.999999999999996</v>
      </c>
      <c r="W23" s="9"/>
      <c r="X23" s="9">
        <f t="shared" si="7"/>
        <v>45.999999999999901</v>
      </c>
      <c r="Y23" s="9"/>
      <c r="Z23" s="11">
        <f t="shared" si="8"/>
        <v>32.000000000000128</v>
      </c>
      <c r="AA23" s="30"/>
      <c r="AB23" s="11">
        <f t="shared" si="9"/>
        <v>21.000000000000007</v>
      </c>
      <c r="AC23" s="30"/>
      <c r="AD23" s="11">
        <f t="shared" si="10"/>
        <v>0</v>
      </c>
      <c r="AE23" s="30"/>
      <c r="AF23" s="30"/>
    </row>
    <row r="24" spans="1:32" x14ac:dyDescent="0.2">
      <c r="A24" s="9" t="s">
        <v>26</v>
      </c>
      <c r="B24" s="10">
        <v>2448</v>
      </c>
      <c r="C24" s="9">
        <f>SUMIF('2015 Factor % to units'!$B:$B,$B24,'2015 Factor % to units'!$G:$G)</f>
        <v>118.44728434504792</v>
      </c>
      <c r="D24" s="9">
        <f>SUMIF('2015 Factor % to units'!$B:$B,$B24,'2015 Factor % to units'!$X:$X)</f>
        <v>39.999999999999943</v>
      </c>
      <c r="E24" s="9">
        <f>SUMIF('2015 Factor % to units'!$B:$B,$B24,'2015 Factor % to units'!$Z:$Z)</f>
        <v>16.000000000000011</v>
      </c>
      <c r="F24" s="9">
        <f>SUMIF('2015 Factor % to units'!$B:$B,$B24,'2015 Factor % to units'!$AB:$AB)</f>
        <v>67.999999999999844</v>
      </c>
      <c r="G24" s="9">
        <f>SUMIF('2015 Factor % to units'!$B:$B,$B24,'2015 Factor % to units'!$AD:$AD)</f>
        <v>32.999999999999986</v>
      </c>
      <c r="H24" s="9">
        <f>SUMIF('2015 Factor % to units'!$B:$B,$B24,'2015 Factor % to units'!$AF:$AF)</f>
        <v>24</v>
      </c>
      <c r="I24" s="9">
        <f>SUMIF('2015 Factor % to units'!$B:$B,$B24,'2015 Factor % to units'!$AH:$AH)</f>
        <v>0</v>
      </c>
      <c r="J24" s="1016">
        <f t="shared" si="2"/>
        <v>299.44728434504771</v>
      </c>
      <c r="K24" s="1016">
        <f t="shared" si="0"/>
        <v>110613.38489017327</v>
      </c>
      <c r="L24" s="1016"/>
      <c r="M24" s="1017">
        <f t="shared" si="1"/>
        <v>70453.890461975083</v>
      </c>
      <c r="N24" s="1017"/>
      <c r="O24" s="1018">
        <f t="shared" si="3"/>
        <v>181067.27535214834</v>
      </c>
      <c r="P24" s="1018"/>
      <c r="Q24" s="1018"/>
      <c r="R24" s="1021">
        <f t="shared" si="4"/>
        <v>118.44728434504792</v>
      </c>
      <c r="S24" s="9"/>
      <c r="T24" s="9">
        <f t="shared" si="5"/>
        <v>39.999999999999943</v>
      </c>
      <c r="U24" s="9"/>
      <c r="V24" s="9">
        <f t="shared" si="6"/>
        <v>16.000000000000011</v>
      </c>
      <c r="W24" s="9"/>
      <c r="X24" s="9">
        <f t="shared" si="7"/>
        <v>67.999999999999844</v>
      </c>
      <c r="Y24" s="9"/>
      <c r="Z24" s="11">
        <f t="shared" si="8"/>
        <v>32.999999999999986</v>
      </c>
      <c r="AA24" s="30"/>
      <c r="AB24" s="11">
        <f t="shared" si="9"/>
        <v>24</v>
      </c>
      <c r="AC24" s="30"/>
      <c r="AD24" s="11">
        <f t="shared" si="10"/>
        <v>0</v>
      </c>
      <c r="AE24" s="30"/>
      <c r="AF24" s="30"/>
    </row>
    <row r="25" spans="1:32" x14ac:dyDescent="0.2">
      <c r="A25" s="9" t="s">
        <v>126</v>
      </c>
      <c r="B25" s="10">
        <v>2467</v>
      </c>
      <c r="C25" s="9">
        <f>SUMIF('2015 Factor % to units'!$B:$B,$B25,'2015 Factor % to units'!$G:$G)</f>
        <v>97.372928176795583</v>
      </c>
      <c r="D25" s="9">
        <f>SUMIF('2015 Factor % to units'!$B:$B,$B25,'2015 Factor % to units'!$X:$X)</f>
        <v>32.184438040345832</v>
      </c>
      <c r="E25" s="9">
        <f>SUMIF('2015 Factor % to units'!$B:$B,$B25,'2015 Factor % to units'!$Z:$Z)</f>
        <v>32.184438040345832</v>
      </c>
      <c r="F25" s="9">
        <f>SUMIF('2015 Factor % to units'!$B:$B,$B25,'2015 Factor % to units'!$AB:$AB)</f>
        <v>109.62824207492798</v>
      </c>
      <c r="G25" s="9">
        <f>SUMIF('2015 Factor % to units'!$B:$B,$B25,'2015 Factor % to units'!$AD:$AD)</f>
        <v>9.0518731988472538</v>
      </c>
      <c r="H25" s="9">
        <f>SUMIF('2015 Factor % to units'!$B:$B,$B25,'2015 Factor % to units'!$AF:$AF)</f>
        <v>23.132564841498542</v>
      </c>
      <c r="I25" s="9">
        <f>SUMIF('2015 Factor % to units'!$B:$B,$B25,'2015 Factor % to units'!$AH:$AH)</f>
        <v>2.0115273775216154</v>
      </c>
      <c r="J25" s="1016">
        <f t="shared" si="2"/>
        <v>305.5660117502826</v>
      </c>
      <c r="K25" s="1016">
        <f t="shared" si="0"/>
        <v>90932.850354989117</v>
      </c>
      <c r="L25" s="1016"/>
      <c r="M25" s="1017">
        <f t="shared" si="1"/>
        <v>77829.985698320612</v>
      </c>
      <c r="N25" s="1017"/>
      <c r="O25" s="1018">
        <f t="shared" si="3"/>
        <v>168762.83605330973</v>
      </c>
      <c r="P25" s="1018"/>
      <c r="Q25" s="1018"/>
      <c r="R25" s="1021">
        <f t="shared" si="4"/>
        <v>97.372928176795583</v>
      </c>
      <c r="S25" s="9"/>
      <c r="T25" s="9">
        <f t="shared" si="5"/>
        <v>32.184438040345832</v>
      </c>
      <c r="U25" s="9"/>
      <c r="V25" s="9">
        <f t="shared" si="6"/>
        <v>32.184438040345832</v>
      </c>
      <c r="W25" s="9"/>
      <c r="X25" s="9">
        <f t="shared" si="7"/>
        <v>109.62824207492798</v>
      </c>
      <c r="Y25" s="9"/>
      <c r="Z25" s="11">
        <f t="shared" si="8"/>
        <v>9.0518731988472538</v>
      </c>
      <c r="AA25" s="30"/>
      <c r="AB25" s="11">
        <f t="shared" si="9"/>
        <v>23.132564841498542</v>
      </c>
      <c r="AC25" s="30"/>
      <c r="AD25" s="11">
        <f t="shared" si="10"/>
        <v>2.0115273775216154</v>
      </c>
      <c r="AE25" s="30"/>
      <c r="AF25" s="30"/>
    </row>
    <row r="26" spans="1:32" x14ac:dyDescent="0.2">
      <c r="A26" s="9" t="s">
        <v>28</v>
      </c>
      <c r="B26" s="10">
        <v>2455</v>
      </c>
      <c r="C26" s="9">
        <f>SUMIF('2015 Factor % to units'!$B:$B,$B26,'2015 Factor % to units'!$G:$G)</f>
        <v>49.022346368715084</v>
      </c>
      <c r="D26" s="9">
        <f>SUMIF('2015 Factor % to units'!$B:$B,$B26,'2015 Factor % to units'!$X:$X)</f>
        <v>3.0171919770773648</v>
      </c>
      <c r="E26" s="9">
        <f>SUMIF('2015 Factor % to units'!$B:$B,$B26,'2015 Factor % to units'!$Z:$Z)</f>
        <v>80.458452722063171</v>
      </c>
      <c r="F26" s="9">
        <f>SUMIF('2015 Factor % to units'!$B:$B,$B26,'2015 Factor % to units'!$AB:$AB)</f>
        <v>3.0171919770773648</v>
      </c>
      <c r="G26" s="9">
        <f>SUMIF('2015 Factor % to units'!$B:$B,$B26,'2015 Factor % to units'!$AD:$AD)</f>
        <v>6.0343839541547295</v>
      </c>
      <c r="H26" s="9">
        <f>SUMIF('2015 Factor % to units'!$B:$B,$B26,'2015 Factor % to units'!$AF:$AF)</f>
        <v>3.0171919770773648</v>
      </c>
      <c r="I26" s="9">
        <f>SUMIF('2015 Factor % to units'!$B:$B,$B26,'2015 Factor % to units'!$AH:$AH)</f>
        <v>3.0171919770773648</v>
      </c>
      <c r="J26" s="1016">
        <f t="shared" si="2"/>
        <v>147.58395095324246</v>
      </c>
      <c r="K26" s="1016">
        <f t="shared" si="0"/>
        <v>45780.092782083069</v>
      </c>
      <c r="L26" s="1016"/>
      <c r="M26" s="1017">
        <f t="shared" si="1"/>
        <v>28797.742544684035</v>
      </c>
      <c r="N26" s="1017"/>
      <c r="O26" s="1018">
        <f t="shared" si="3"/>
        <v>74577.835326767105</v>
      </c>
      <c r="P26" s="1018"/>
      <c r="Q26" s="1018"/>
      <c r="R26" s="1021">
        <f t="shared" si="4"/>
        <v>49.022346368715084</v>
      </c>
      <c r="S26" s="9"/>
      <c r="T26" s="9">
        <f t="shared" si="5"/>
        <v>3.0171919770773648</v>
      </c>
      <c r="U26" s="9"/>
      <c r="V26" s="9">
        <f t="shared" si="6"/>
        <v>80.458452722063171</v>
      </c>
      <c r="W26" s="9"/>
      <c r="X26" s="9">
        <f t="shared" si="7"/>
        <v>3.0171919770773648</v>
      </c>
      <c r="Y26" s="9"/>
      <c r="Z26" s="11">
        <f t="shared" si="8"/>
        <v>6.0343839541547295</v>
      </c>
      <c r="AA26" s="30"/>
      <c r="AB26" s="11">
        <f t="shared" si="9"/>
        <v>3.0171919770773648</v>
      </c>
      <c r="AC26" s="30"/>
      <c r="AD26" s="11">
        <f t="shared" si="10"/>
        <v>3.0171919770773648</v>
      </c>
      <c r="AE26" s="30"/>
      <c r="AF26" s="30"/>
    </row>
    <row r="27" spans="1:32" x14ac:dyDescent="0.2">
      <c r="A27" s="9" t="s">
        <v>29</v>
      </c>
      <c r="B27" s="10">
        <v>5203</v>
      </c>
      <c r="C27" s="9">
        <f>SUMIF('2015 Factor % to units'!$B:$B,$B27,'2015 Factor % to units'!$G:$G)</f>
        <v>94.781704781704789</v>
      </c>
      <c r="D27" s="9">
        <f>SUMIF('2015 Factor % to units'!$B:$B,$B27,'2015 Factor % to units'!$X:$X)</f>
        <v>3.0249480249480265</v>
      </c>
      <c r="E27" s="9">
        <f>SUMIF('2015 Factor % to units'!$B:$B,$B27,'2015 Factor % to units'!$Z:$Z)</f>
        <v>110.91476091476108</v>
      </c>
      <c r="F27" s="9">
        <f>SUMIF('2015 Factor % to units'!$B:$B,$B27,'2015 Factor % to units'!$AB:$AB)</f>
        <v>0</v>
      </c>
      <c r="G27" s="9">
        <f>SUMIF('2015 Factor % to units'!$B:$B,$B27,'2015 Factor % to units'!$AD:$AD)</f>
        <v>11.091476091476107</v>
      </c>
      <c r="H27" s="9">
        <f>SUMIF('2015 Factor % to units'!$B:$B,$B27,'2015 Factor % to units'!$AF:$AF)</f>
        <v>8.0665280665280523</v>
      </c>
      <c r="I27" s="9">
        <f>SUMIF('2015 Factor % to units'!$B:$B,$B27,'2015 Factor % to units'!$AH:$AH)</f>
        <v>3.0249480249480265</v>
      </c>
      <c r="J27" s="1016">
        <f t="shared" si="2"/>
        <v>230.9043659043661</v>
      </c>
      <c r="K27" s="1016">
        <f t="shared" si="0"/>
        <v>88513.006013918042</v>
      </c>
      <c r="L27" s="1016"/>
      <c r="M27" s="1017">
        <f t="shared" si="1"/>
        <v>42007.157631389389</v>
      </c>
      <c r="N27" s="1017"/>
      <c r="O27" s="1018">
        <f t="shared" si="3"/>
        <v>130520.16364530743</v>
      </c>
      <c r="P27" s="1018"/>
      <c r="Q27" s="1018"/>
      <c r="R27" s="1021">
        <f t="shared" si="4"/>
        <v>94.781704781704789</v>
      </c>
      <c r="S27" s="9"/>
      <c r="T27" s="9">
        <f t="shared" si="5"/>
        <v>3.0249480249480265</v>
      </c>
      <c r="U27" s="9"/>
      <c r="V27" s="9">
        <f t="shared" si="6"/>
        <v>110.91476091476108</v>
      </c>
      <c r="W27" s="9"/>
      <c r="X27" s="9">
        <f t="shared" si="7"/>
        <v>0</v>
      </c>
      <c r="Y27" s="9"/>
      <c r="Z27" s="11">
        <f t="shared" si="8"/>
        <v>11.091476091476107</v>
      </c>
      <c r="AA27" s="30"/>
      <c r="AB27" s="11">
        <f t="shared" si="9"/>
        <v>8.0665280665280523</v>
      </c>
      <c r="AC27" s="30"/>
      <c r="AD27" s="11">
        <f t="shared" si="10"/>
        <v>3.0249480249480265</v>
      </c>
      <c r="AE27" s="30"/>
      <c r="AF27" s="30"/>
    </row>
    <row r="28" spans="1:32" x14ac:dyDescent="0.2">
      <c r="A28" s="9" t="s">
        <v>30</v>
      </c>
      <c r="B28" s="10">
        <v>2451</v>
      </c>
      <c r="C28" s="9">
        <f>SUMIF('2015 Factor % to units'!$B:$B,$B28,'2015 Factor % to units'!$G:$G)</f>
        <v>92.588486140724953</v>
      </c>
      <c r="D28" s="9">
        <f>SUMIF('2015 Factor % to units'!$B:$B,$B28,'2015 Factor % to units'!$X:$X)</f>
        <v>30.999999999999996</v>
      </c>
      <c r="E28" s="9">
        <f>SUMIF('2015 Factor % to units'!$B:$B,$B28,'2015 Factor % to units'!$Z:$Z)</f>
        <v>116.99999999999982</v>
      </c>
      <c r="F28" s="9">
        <f>SUMIF('2015 Factor % to units'!$B:$B,$B28,'2015 Factor % to units'!$AB:$AB)</f>
        <v>77</v>
      </c>
      <c r="G28" s="9">
        <f>SUMIF('2015 Factor % to units'!$B:$B,$B28,'2015 Factor % to units'!$AD:$AD)</f>
        <v>4</v>
      </c>
      <c r="H28" s="9">
        <f>SUMIF('2015 Factor % to units'!$B:$B,$B28,'2015 Factor % to units'!$AF:$AF)</f>
        <v>10</v>
      </c>
      <c r="I28" s="9">
        <f>SUMIF('2015 Factor % to units'!$B:$B,$B28,'2015 Factor % to units'!$AH:$AH)</f>
        <v>0</v>
      </c>
      <c r="J28" s="1016">
        <f t="shared" si="2"/>
        <v>331.58848614072474</v>
      </c>
      <c r="K28" s="1016">
        <f t="shared" si="0"/>
        <v>86464.843077769241</v>
      </c>
      <c r="L28" s="1016"/>
      <c r="M28" s="1017">
        <f t="shared" si="1"/>
        <v>69494.112470732434</v>
      </c>
      <c r="N28" s="1017"/>
      <c r="O28" s="1018">
        <f t="shared" si="3"/>
        <v>155958.95554850169</v>
      </c>
      <c r="P28" s="1018"/>
      <c r="Q28" s="1018"/>
      <c r="R28" s="1021">
        <f t="shared" si="4"/>
        <v>92.588486140724953</v>
      </c>
      <c r="S28" s="9"/>
      <c r="T28" s="9">
        <f t="shared" si="5"/>
        <v>30.999999999999996</v>
      </c>
      <c r="U28" s="9"/>
      <c r="V28" s="9">
        <f t="shared" si="6"/>
        <v>116.99999999999982</v>
      </c>
      <c r="W28" s="9"/>
      <c r="X28" s="9">
        <f t="shared" si="7"/>
        <v>77</v>
      </c>
      <c r="Y28" s="9"/>
      <c r="Z28" s="11">
        <f t="shared" si="8"/>
        <v>4</v>
      </c>
      <c r="AA28" s="30"/>
      <c r="AB28" s="11">
        <f t="shared" si="9"/>
        <v>10</v>
      </c>
      <c r="AC28" s="30"/>
      <c r="AD28" s="11">
        <f t="shared" si="10"/>
        <v>0</v>
      </c>
      <c r="AE28" s="30"/>
      <c r="AF28" s="30"/>
    </row>
    <row r="29" spans="1:32" x14ac:dyDescent="0.2">
      <c r="A29" s="9" t="s">
        <v>31</v>
      </c>
      <c r="B29" s="10">
        <v>2409</v>
      </c>
      <c r="C29" s="9">
        <f>SUMIF('2015 Factor % to units'!$B:$B,$B29,'2015 Factor % to units'!$G:$G)</f>
        <v>181</v>
      </c>
      <c r="D29" s="9">
        <f>SUMIF('2015 Factor % to units'!$B:$B,$B29,'2015 Factor % to units'!$X:$X)</f>
        <v>0.99999999999999967</v>
      </c>
      <c r="E29" s="9">
        <f>SUMIF('2015 Factor % to units'!$B:$B,$B29,'2015 Factor % to units'!$Z:$Z)</f>
        <v>70.000000000000256</v>
      </c>
      <c r="F29" s="9">
        <f>SUMIF('2015 Factor % to units'!$B:$B,$B29,'2015 Factor % to units'!$AB:$AB)</f>
        <v>279.00000000000017</v>
      </c>
      <c r="G29" s="9">
        <f>SUMIF('2015 Factor % to units'!$B:$B,$B29,'2015 Factor % to units'!$AD:$AD)</f>
        <v>33.000000000000014</v>
      </c>
      <c r="H29" s="9">
        <f>SUMIF('2015 Factor % to units'!$B:$B,$B29,'2015 Factor % to units'!$AF:$AF)</f>
        <v>13.999999999999995</v>
      </c>
      <c r="I29" s="9">
        <f>SUMIF('2015 Factor % to units'!$B:$B,$B29,'2015 Factor % to units'!$AH:$AH)</f>
        <v>2.9999999999999991</v>
      </c>
      <c r="J29" s="1016">
        <f t="shared" si="2"/>
        <v>581.00000000000045</v>
      </c>
      <c r="K29" s="1016">
        <f t="shared" si="0"/>
        <v>169028.97162925464</v>
      </c>
      <c r="L29" s="1016"/>
      <c r="M29" s="1017">
        <f t="shared" si="1"/>
        <v>146326.09400768927</v>
      </c>
      <c r="N29" s="1017"/>
      <c r="O29" s="1018">
        <f t="shared" si="3"/>
        <v>315355.06563694391</v>
      </c>
      <c r="P29" s="1018"/>
      <c r="Q29" s="1018"/>
      <c r="R29" s="1021">
        <f t="shared" si="4"/>
        <v>181</v>
      </c>
      <c r="S29" s="9"/>
      <c r="T29" s="9">
        <f t="shared" si="5"/>
        <v>0.99999999999999967</v>
      </c>
      <c r="U29" s="9"/>
      <c r="V29" s="9">
        <f t="shared" si="6"/>
        <v>70.000000000000256</v>
      </c>
      <c r="W29" s="9"/>
      <c r="X29" s="9">
        <f t="shared" si="7"/>
        <v>279.00000000000017</v>
      </c>
      <c r="Y29" s="9"/>
      <c r="Z29" s="11">
        <f t="shared" si="8"/>
        <v>33.000000000000014</v>
      </c>
      <c r="AA29" s="30"/>
      <c r="AB29" s="11">
        <f t="shared" si="9"/>
        <v>13.999999999999995</v>
      </c>
      <c r="AC29" s="30"/>
      <c r="AD29" s="11">
        <f t="shared" si="10"/>
        <v>2.9999999999999991</v>
      </c>
      <c r="AE29" s="30"/>
      <c r="AF29" s="30"/>
    </row>
    <row r="30" spans="1:32" x14ac:dyDescent="0.2">
      <c r="A30" s="9" t="s">
        <v>98</v>
      </c>
      <c r="B30" s="10">
        <v>3158</v>
      </c>
      <c r="C30" s="9">
        <f>SUMIF('2015 Factor % to units'!$B:$B,$B30,'2015 Factor % to units'!$G:$G)</f>
        <v>37.565217391304351</v>
      </c>
      <c r="D30" s="9">
        <f>SUMIF('2015 Factor % to units'!$B:$B,$B30,'2015 Factor % to units'!$X:$X)</f>
        <v>0</v>
      </c>
      <c r="E30" s="9">
        <f>SUMIF('2015 Factor % to units'!$B:$B,$B30,'2015 Factor % to units'!$Z:$Z)</f>
        <v>80.000000000000028</v>
      </c>
      <c r="F30" s="9">
        <f>SUMIF('2015 Factor % to units'!$B:$B,$B30,'2015 Factor % to units'!$AB:$AB)</f>
        <v>18.999999999999957</v>
      </c>
      <c r="G30" s="9">
        <f>SUMIF('2015 Factor % to units'!$B:$B,$B30,'2015 Factor % to units'!$AD:$AD)</f>
        <v>18</v>
      </c>
      <c r="H30" s="9">
        <f>SUMIF('2015 Factor % to units'!$B:$B,$B30,'2015 Factor % to units'!$AF:$AF)</f>
        <v>0.99999999999999956</v>
      </c>
      <c r="I30" s="9">
        <f>SUMIF('2015 Factor % to units'!$B:$B,$B30,'2015 Factor % to units'!$AH:$AH)</f>
        <v>0</v>
      </c>
      <c r="J30" s="1016">
        <f t="shared" si="2"/>
        <v>155.56521739130432</v>
      </c>
      <c r="K30" s="1016">
        <f t="shared" si="0"/>
        <v>35080.718589400916</v>
      </c>
      <c r="L30" s="1016"/>
      <c r="M30" s="1017">
        <f t="shared" si="1"/>
        <v>34859.229968259235</v>
      </c>
      <c r="N30" s="1017"/>
      <c r="O30" s="1018">
        <f t="shared" si="3"/>
        <v>69939.948557660158</v>
      </c>
      <c r="P30" s="1018"/>
      <c r="Q30" s="1018"/>
      <c r="R30" s="1021">
        <f t="shared" si="4"/>
        <v>37.565217391304351</v>
      </c>
      <c r="S30" s="9"/>
      <c r="T30" s="9">
        <f t="shared" si="5"/>
        <v>0</v>
      </c>
      <c r="U30" s="9"/>
      <c r="V30" s="9">
        <f t="shared" si="6"/>
        <v>80.000000000000028</v>
      </c>
      <c r="W30" s="9"/>
      <c r="X30" s="9">
        <f t="shared" si="7"/>
        <v>18.999999999999957</v>
      </c>
      <c r="Y30" s="9"/>
      <c r="Z30" s="11">
        <f t="shared" si="8"/>
        <v>18</v>
      </c>
      <c r="AA30" s="30"/>
      <c r="AB30" s="11">
        <f t="shared" si="9"/>
        <v>0.99999999999999956</v>
      </c>
      <c r="AC30" s="30"/>
      <c r="AD30" s="11">
        <f t="shared" si="10"/>
        <v>0</v>
      </c>
      <c r="AE30" s="30"/>
      <c r="AF30" s="30"/>
    </row>
    <row r="31" spans="1:32" x14ac:dyDescent="0.2">
      <c r="A31" s="9" t="s">
        <v>32</v>
      </c>
      <c r="B31" s="10">
        <v>2619</v>
      </c>
      <c r="C31" s="9">
        <f>SUMIF('2015 Factor % to units'!$B:$B,$B31,'2015 Factor % to units'!$G:$G)</f>
        <v>127.5</v>
      </c>
      <c r="D31" s="9">
        <f>SUMIF('2015 Factor % to units'!$B:$B,$B31,'2015 Factor % to units'!$X:$X)</f>
        <v>5.0746268656716493</v>
      </c>
      <c r="E31" s="9">
        <f>SUMIF('2015 Factor % to units'!$B:$B,$B31,'2015 Factor % to units'!$Z:$Z)</f>
        <v>5.0746268656716493</v>
      </c>
      <c r="F31" s="9">
        <f>SUMIF('2015 Factor % to units'!$B:$B,$B31,'2015 Factor % to units'!$AB:$AB)</f>
        <v>39.582089552238877</v>
      </c>
      <c r="G31" s="9">
        <f>SUMIF('2015 Factor % to units'!$B:$B,$B31,'2015 Factor % to units'!$AD:$AD)</f>
        <v>1.0149253731343277</v>
      </c>
      <c r="H31" s="9">
        <f>SUMIF('2015 Factor % to units'!$B:$B,$B31,'2015 Factor % to units'!$AF:$AF)</f>
        <v>151.22388059701481</v>
      </c>
      <c r="I31" s="9">
        <f>SUMIF('2015 Factor % to units'!$B:$B,$B31,'2015 Factor % to units'!$AH:$AH)</f>
        <v>0</v>
      </c>
      <c r="J31" s="1016">
        <f t="shared" si="2"/>
        <v>329.47014925373134</v>
      </c>
      <c r="K31" s="1016">
        <f t="shared" si="0"/>
        <v>119067.36951784512</v>
      </c>
      <c r="L31" s="1016"/>
      <c r="M31" s="1017">
        <f t="shared" si="1"/>
        <v>158269.78448580301</v>
      </c>
      <c r="N31" s="1017"/>
      <c r="O31" s="1018">
        <f t="shared" si="3"/>
        <v>277337.15400364815</v>
      </c>
      <c r="P31" s="1018"/>
      <c r="Q31" s="1018"/>
      <c r="R31" s="1021">
        <f t="shared" si="4"/>
        <v>127.5</v>
      </c>
      <c r="S31" s="9"/>
      <c r="T31" s="9">
        <f t="shared" si="5"/>
        <v>5.0746268656716493</v>
      </c>
      <c r="U31" s="9"/>
      <c r="V31" s="9">
        <f t="shared" si="6"/>
        <v>5.0746268656716493</v>
      </c>
      <c r="W31" s="9"/>
      <c r="X31" s="9">
        <f t="shared" si="7"/>
        <v>39.582089552238877</v>
      </c>
      <c r="Y31" s="9"/>
      <c r="Z31" s="11">
        <f t="shared" si="8"/>
        <v>1.0149253731343277</v>
      </c>
      <c r="AA31" s="30"/>
      <c r="AB31" s="11">
        <f t="shared" si="9"/>
        <v>151.22388059701481</v>
      </c>
      <c r="AC31" s="30"/>
      <c r="AD31" s="11">
        <f t="shared" si="10"/>
        <v>0</v>
      </c>
      <c r="AE31" s="30"/>
      <c r="AF31" s="30"/>
    </row>
    <row r="32" spans="1:32" x14ac:dyDescent="0.2">
      <c r="A32" s="9" t="s">
        <v>33</v>
      </c>
      <c r="B32" s="10">
        <v>2518</v>
      </c>
      <c r="C32" s="9">
        <f>SUMIF('2015 Factor % to units'!$B:$B,$B32,'2015 Factor % to units'!$G:$G)</f>
        <v>186.62460567823345</v>
      </c>
      <c r="D32" s="9">
        <f>SUMIF('2015 Factor % to units'!$B:$B,$B32,'2015 Factor % to units'!$X:$X)</f>
        <v>0</v>
      </c>
      <c r="E32" s="9">
        <f>SUMIF('2015 Factor % to units'!$B:$B,$B32,'2015 Factor % to units'!$Z:$Z)</f>
        <v>81.479289940828338</v>
      </c>
      <c r="F32" s="9">
        <f>SUMIF('2015 Factor % to units'!$B:$B,$B32,'2015 Factor % to units'!$AB:$AB)</f>
        <v>147.86982248520701</v>
      </c>
      <c r="G32" s="9">
        <f>SUMIF('2015 Factor % to units'!$B:$B,$B32,'2015 Factor % to units'!$AD:$AD)</f>
        <v>43.254437869822624</v>
      </c>
      <c r="H32" s="9">
        <f>SUMIF('2015 Factor % to units'!$B:$B,$B32,'2015 Factor % to units'!$AF:$AF)</f>
        <v>51.301775147928986</v>
      </c>
      <c r="I32" s="9">
        <f>SUMIF('2015 Factor % to units'!$B:$B,$B32,'2015 Factor % to units'!$AH:$AH)</f>
        <v>5.0295857988165604</v>
      </c>
      <c r="J32" s="1016">
        <f t="shared" si="2"/>
        <v>515.55951692083704</v>
      </c>
      <c r="K32" s="1016">
        <f t="shared" si="0"/>
        <v>174281.57557186164</v>
      </c>
      <c r="L32" s="1016"/>
      <c r="M32" s="1017">
        <f t="shared" si="1"/>
        <v>144457.96034599771</v>
      </c>
      <c r="N32" s="1017"/>
      <c r="O32" s="1018">
        <f t="shared" si="3"/>
        <v>318739.53591785935</v>
      </c>
      <c r="P32" s="1018"/>
      <c r="Q32" s="1018"/>
      <c r="R32" s="1021">
        <f t="shared" si="4"/>
        <v>186.62460567823345</v>
      </c>
      <c r="S32" s="9"/>
      <c r="T32" s="9">
        <f t="shared" si="5"/>
        <v>0</v>
      </c>
      <c r="U32" s="9"/>
      <c r="V32" s="9">
        <f t="shared" si="6"/>
        <v>81.479289940828338</v>
      </c>
      <c r="W32" s="9"/>
      <c r="X32" s="9">
        <f t="shared" si="7"/>
        <v>147.86982248520701</v>
      </c>
      <c r="Y32" s="9"/>
      <c r="Z32" s="11">
        <f t="shared" si="8"/>
        <v>43.254437869822624</v>
      </c>
      <c r="AA32" s="30"/>
      <c r="AB32" s="11">
        <f t="shared" si="9"/>
        <v>51.301775147928986</v>
      </c>
      <c r="AC32" s="30"/>
      <c r="AD32" s="11">
        <f t="shared" si="10"/>
        <v>5.0295857988165604</v>
      </c>
      <c r="AE32" s="30"/>
      <c r="AF32" s="30"/>
    </row>
    <row r="33" spans="1:32" x14ac:dyDescent="0.2">
      <c r="A33" s="9" t="s">
        <v>34</v>
      </c>
      <c r="B33" s="10">
        <v>2457</v>
      </c>
      <c r="C33" s="9">
        <f>SUMIF('2015 Factor % to units'!$B:$B,$B33,'2015 Factor % to units'!$G:$G)</f>
        <v>89.016393442622956</v>
      </c>
      <c r="D33" s="9">
        <f>SUMIF('2015 Factor % to units'!$B:$B,$B33,'2015 Factor % to units'!$X:$X)</f>
        <v>24.066481994459835</v>
      </c>
      <c r="E33" s="9">
        <f>SUMIF('2015 Factor % to units'!$B:$B,$B33,'2015 Factor % to units'!$Z:$Z)</f>
        <v>0</v>
      </c>
      <c r="F33" s="9">
        <f>SUMIF('2015 Factor % to units'!$B:$B,$B33,'2015 Factor % to units'!$AB:$AB)</f>
        <v>95.263157894736793</v>
      </c>
      <c r="G33" s="9">
        <f>SUMIF('2015 Factor % to units'!$B:$B,$B33,'2015 Factor % to units'!$AD:$AD)</f>
        <v>23.063711911357331</v>
      </c>
      <c r="H33" s="9">
        <f>SUMIF('2015 Factor % to units'!$B:$B,$B33,'2015 Factor % to units'!$AF:$AF)</f>
        <v>4.0110803324099722</v>
      </c>
      <c r="I33" s="9">
        <f>SUMIF('2015 Factor % to units'!$B:$B,$B33,'2015 Factor % to units'!$AH:$AH)</f>
        <v>12.033240997229917</v>
      </c>
      <c r="J33" s="1016">
        <f t="shared" si="2"/>
        <v>247.45406657281677</v>
      </c>
      <c r="K33" s="1016">
        <f t="shared" si="0"/>
        <v>83129.002440617041</v>
      </c>
      <c r="L33" s="1016"/>
      <c r="M33" s="1017">
        <f t="shared" si="1"/>
        <v>62297.336583099561</v>
      </c>
      <c r="N33" s="1017"/>
      <c r="O33" s="1018">
        <f t="shared" si="3"/>
        <v>145426.3390237166</v>
      </c>
      <c r="P33" s="1018"/>
      <c r="Q33" s="1018"/>
      <c r="R33" s="1021">
        <f t="shared" si="4"/>
        <v>89.016393442622956</v>
      </c>
      <c r="S33" s="9"/>
      <c r="T33" s="9">
        <f t="shared" si="5"/>
        <v>24.066481994459835</v>
      </c>
      <c r="U33" s="9"/>
      <c r="V33" s="9">
        <f t="shared" si="6"/>
        <v>0</v>
      </c>
      <c r="W33" s="9"/>
      <c r="X33" s="9">
        <f t="shared" si="7"/>
        <v>95.263157894736793</v>
      </c>
      <c r="Y33" s="9"/>
      <c r="Z33" s="11">
        <f t="shared" si="8"/>
        <v>23.063711911357331</v>
      </c>
      <c r="AA33" s="30"/>
      <c r="AB33" s="11">
        <f t="shared" si="9"/>
        <v>4.0110803324099722</v>
      </c>
      <c r="AC33" s="30"/>
      <c r="AD33" s="11">
        <f t="shared" si="10"/>
        <v>12.033240997229917</v>
      </c>
      <c r="AE33" s="30"/>
      <c r="AF33" s="30"/>
    </row>
    <row r="34" spans="1:32" x14ac:dyDescent="0.2">
      <c r="A34" s="9" t="s">
        <v>99</v>
      </c>
      <c r="B34" s="10">
        <v>2010</v>
      </c>
      <c r="C34" s="9">
        <f>SUMIF('2015 Factor % to units'!$B:$B,$B34,'2015 Factor % to units'!$G:$G)</f>
        <v>109.01587301587303</v>
      </c>
      <c r="D34" s="9">
        <f>SUMIF('2015 Factor % to units'!$B:$B,$B34,'2015 Factor % to units'!$X:$X)</f>
        <v>14.068965517241375</v>
      </c>
      <c r="E34" s="9">
        <f>SUMIF('2015 Factor % to units'!$B:$B,$B34,'2015 Factor % to units'!$Z:$Z)</f>
        <v>2.0098522167487678</v>
      </c>
      <c r="F34" s="9">
        <f>SUMIF('2015 Factor % to units'!$B:$B,$B34,'2015 Factor % to units'!$AB:$AB)</f>
        <v>77.379310344827545</v>
      </c>
      <c r="G34" s="9">
        <f>SUMIF('2015 Factor % to units'!$B:$B,$B34,'2015 Factor % to units'!$AD:$AD)</f>
        <v>78.384236453201879</v>
      </c>
      <c r="H34" s="9">
        <f>SUMIF('2015 Factor % to units'!$B:$B,$B34,'2015 Factor % to units'!$AF:$AF)</f>
        <v>0</v>
      </c>
      <c r="I34" s="9">
        <f>SUMIF('2015 Factor % to units'!$B:$B,$B34,'2015 Factor % to units'!$AH:$AH)</f>
        <v>23.113300492610747</v>
      </c>
      <c r="J34" s="1016">
        <f t="shared" si="2"/>
        <v>303.97153804050333</v>
      </c>
      <c r="K34" s="1016">
        <f t="shared" si="0"/>
        <v>101805.75086816811</v>
      </c>
      <c r="L34" s="1016"/>
      <c r="M34" s="1017">
        <f t="shared" si="1"/>
        <v>87918.356971699061</v>
      </c>
      <c r="N34" s="1017"/>
      <c r="O34" s="1018">
        <f t="shared" si="3"/>
        <v>189724.10783986718</v>
      </c>
      <c r="P34" s="1018"/>
      <c r="Q34" s="1018"/>
      <c r="R34" s="1021">
        <f t="shared" si="4"/>
        <v>109.01587301587303</v>
      </c>
      <c r="S34" s="9"/>
      <c r="T34" s="9">
        <f t="shared" si="5"/>
        <v>14.068965517241375</v>
      </c>
      <c r="U34" s="9"/>
      <c r="V34" s="9">
        <f t="shared" si="6"/>
        <v>2.0098522167487678</v>
      </c>
      <c r="W34" s="9"/>
      <c r="X34" s="9">
        <f t="shared" si="7"/>
        <v>77.379310344827545</v>
      </c>
      <c r="Y34" s="9"/>
      <c r="Z34" s="11">
        <f t="shared" si="8"/>
        <v>78.384236453201879</v>
      </c>
      <c r="AA34" s="30"/>
      <c r="AB34" s="11">
        <f t="shared" si="9"/>
        <v>0</v>
      </c>
      <c r="AC34" s="30"/>
      <c r="AD34" s="11">
        <f t="shared" si="10"/>
        <v>23.113300492610747</v>
      </c>
      <c r="AE34" s="30"/>
      <c r="AF34" s="30"/>
    </row>
    <row r="35" spans="1:32" x14ac:dyDescent="0.2">
      <c r="A35" s="9" t="s">
        <v>35</v>
      </c>
      <c r="B35" s="10">
        <v>2002</v>
      </c>
      <c r="C35" s="9">
        <f>SUMIF('2015 Factor % to units'!$B:$B,$B35,'2015 Factor % to units'!$G:$G)</f>
        <v>47.777777777777779</v>
      </c>
      <c r="D35" s="9">
        <f>SUMIF('2015 Factor % to units'!$B:$B,$B35,'2015 Factor % to units'!$X:$X)</f>
        <v>98.920187793427445</v>
      </c>
      <c r="E35" s="9">
        <f>SUMIF('2015 Factor % to units'!$B:$B,$B35,'2015 Factor % to units'!$Z:$Z)</f>
        <v>0</v>
      </c>
      <c r="F35" s="9">
        <f>SUMIF('2015 Factor % to units'!$B:$B,$B35,'2015 Factor % to units'!$AB:$AB)</f>
        <v>8.0751173708920199</v>
      </c>
      <c r="G35" s="9">
        <f>SUMIF('2015 Factor % to units'!$B:$B,$B35,'2015 Factor % to units'!$AD:$AD)</f>
        <v>0</v>
      </c>
      <c r="H35" s="9">
        <f>SUMIF('2015 Factor % to units'!$B:$B,$B35,'2015 Factor % to units'!$AF:$AF)</f>
        <v>0</v>
      </c>
      <c r="I35" s="9">
        <f>SUMIF('2015 Factor % to units'!$B:$B,$B35,'2015 Factor % to units'!$AH:$AH)</f>
        <v>0</v>
      </c>
      <c r="J35" s="1016">
        <f t="shared" si="2"/>
        <v>154.77308294209726</v>
      </c>
      <c r="K35" s="1016">
        <f t="shared" si="0"/>
        <v>44617.837814965926</v>
      </c>
      <c r="L35" s="1016"/>
      <c r="M35" s="1017">
        <f t="shared" si="1"/>
        <v>14449.720233428941</v>
      </c>
      <c r="N35" s="1017"/>
      <c r="O35" s="1018">
        <f t="shared" si="3"/>
        <v>59067.558048394865</v>
      </c>
      <c r="P35" s="1018"/>
      <c r="Q35" s="1018"/>
      <c r="R35" s="1021">
        <f t="shared" si="4"/>
        <v>47.777777777777779</v>
      </c>
      <c r="S35" s="9"/>
      <c r="T35" s="9">
        <f t="shared" si="5"/>
        <v>98.920187793427445</v>
      </c>
      <c r="U35" s="9"/>
      <c r="V35" s="9">
        <f t="shared" si="6"/>
        <v>0</v>
      </c>
      <c r="W35" s="9"/>
      <c r="X35" s="9">
        <f t="shared" si="7"/>
        <v>8.0751173708920199</v>
      </c>
      <c r="Y35" s="9"/>
      <c r="Z35" s="11">
        <f t="shared" si="8"/>
        <v>0</v>
      </c>
      <c r="AA35" s="30"/>
      <c r="AB35" s="11">
        <f t="shared" si="9"/>
        <v>0</v>
      </c>
      <c r="AC35" s="30"/>
      <c r="AD35" s="11">
        <f t="shared" si="10"/>
        <v>0</v>
      </c>
      <c r="AE35" s="30"/>
      <c r="AF35" s="30"/>
    </row>
    <row r="36" spans="1:32" x14ac:dyDescent="0.2">
      <c r="A36" s="9" t="s">
        <v>36</v>
      </c>
      <c r="B36" s="10">
        <v>3544</v>
      </c>
      <c r="C36" s="9">
        <f>SUMIF('2015 Factor % to units'!$B:$B,$B36,'2015 Factor % to units'!$G:$G)</f>
        <v>219.77222222222224</v>
      </c>
      <c r="D36" s="9">
        <f>SUMIF('2015 Factor % to units'!$B:$B,$B36,'2015 Factor % to units'!$X:$X)</f>
        <v>1</v>
      </c>
      <c r="E36" s="9">
        <f>SUMIF('2015 Factor % to units'!$B:$B,$B36,'2015 Factor % to units'!$Z:$Z)</f>
        <v>92.999999999999773</v>
      </c>
      <c r="F36" s="9">
        <f>SUMIF('2015 Factor % to units'!$B:$B,$B36,'2015 Factor % to units'!$AB:$AB)</f>
        <v>252.99999999999977</v>
      </c>
      <c r="G36" s="9">
        <f>SUMIF('2015 Factor % to units'!$B:$B,$B36,'2015 Factor % to units'!$AD:$AD)</f>
        <v>84.000000000000227</v>
      </c>
      <c r="H36" s="9">
        <f>SUMIF('2015 Factor % to units'!$B:$B,$B36,'2015 Factor % to units'!$AF:$AF)</f>
        <v>78.999999999999815</v>
      </c>
      <c r="I36" s="9">
        <f>SUMIF('2015 Factor % to units'!$B:$B,$B36,'2015 Factor % to units'!$AH:$AH)</f>
        <v>8</v>
      </c>
      <c r="J36" s="1016">
        <f t="shared" si="2"/>
        <v>737.77222222222179</v>
      </c>
      <c r="K36" s="1016">
        <f t="shared" si="0"/>
        <v>205236.86582816712</v>
      </c>
      <c r="L36" s="1016"/>
      <c r="M36" s="1017">
        <f t="shared" si="1"/>
        <v>232272.51009150143</v>
      </c>
      <c r="N36" s="1017"/>
      <c r="O36" s="1018">
        <f t="shared" si="3"/>
        <v>437509.37591966859</v>
      </c>
      <c r="P36" s="1018"/>
      <c r="Q36" s="1018"/>
      <c r="R36" s="1021">
        <f t="shared" si="4"/>
        <v>219.77222222222224</v>
      </c>
      <c r="S36" s="9"/>
      <c r="T36" s="9">
        <f t="shared" si="5"/>
        <v>1</v>
      </c>
      <c r="U36" s="9"/>
      <c r="V36" s="9">
        <f t="shared" si="6"/>
        <v>92.999999999999773</v>
      </c>
      <c r="W36" s="9"/>
      <c r="X36" s="9">
        <f t="shared" si="7"/>
        <v>252.99999999999977</v>
      </c>
      <c r="Y36" s="9"/>
      <c r="Z36" s="11">
        <f t="shared" si="8"/>
        <v>84.000000000000227</v>
      </c>
      <c r="AA36" s="30"/>
      <c r="AB36" s="11">
        <f t="shared" si="9"/>
        <v>78.999999999999815</v>
      </c>
      <c r="AC36" s="30"/>
      <c r="AD36" s="11">
        <f t="shared" si="10"/>
        <v>8</v>
      </c>
      <c r="AE36" s="30"/>
      <c r="AF36" s="30"/>
    </row>
    <row r="37" spans="1:32" x14ac:dyDescent="0.2">
      <c r="A37" s="9" t="s">
        <v>100</v>
      </c>
      <c r="B37" s="10">
        <v>2006</v>
      </c>
      <c r="C37" s="9">
        <f>SUMIF('2015 Factor % to units'!$B:$B,$B37,'2015 Factor % to units'!$G:$G)</f>
        <v>15.843373493975903</v>
      </c>
      <c r="D37" s="9">
        <f>SUMIF('2015 Factor % to units'!$B:$B,$B37,'2015 Factor % to units'!$X:$X)</f>
        <v>0</v>
      </c>
      <c r="E37" s="9">
        <f>SUMIF('2015 Factor % to units'!$B:$B,$B37,'2015 Factor % to units'!$Z:$Z)</f>
        <v>2.0000000000000013</v>
      </c>
      <c r="F37" s="9">
        <f>SUMIF('2015 Factor % to units'!$B:$B,$B37,'2015 Factor % to units'!$AB:$AB)</f>
        <v>0.99999999999999933</v>
      </c>
      <c r="G37" s="9">
        <f>SUMIF('2015 Factor % to units'!$B:$B,$B37,'2015 Factor % to units'!$AD:$AD)</f>
        <v>0</v>
      </c>
      <c r="H37" s="9">
        <f>SUMIF('2015 Factor % to units'!$B:$B,$B37,'2015 Factor % to units'!$AF:$AF)</f>
        <v>0</v>
      </c>
      <c r="I37" s="9">
        <f>SUMIF('2015 Factor % to units'!$B:$B,$B37,'2015 Factor % to units'!$AH:$AH)</f>
        <v>0</v>
      </c>
      <c r="J37" s="1016">
        <f t="shared" si="2"/>
        <v>18.843373493975903</v>
      </c>
      <c r="K37" s="1016">
        <f t="shared" si="0"/>
        <v>14795.520048756562</v>
      </c>
      <c r="L37" s="1016"/>
      <c r="M37" s="1017">
        <f t="shared" si="1"/>
        <v>821.63594811370649</v>
      </c>
      <c r="N37" s="1017"/>
      <c r="O37" s="1018">
        <f t="shared" si="3"/>
        <v>15617.155996870268</v>
      </c>
      <c r="P37" s="1018"/>
      <c r="Q37" s="1018"/>
      <c r="R37" s="1021">
        <f t="shared" si="4"/>
        <v>15.843373493975903</v>
      </c>
      <c r="S37" s="9"/>
      <c r="T37" s="9">
        <f t="shared" si="5"/>
        <v>0</v>
      </c>
      <c r="U37" s="9"/>
      <c r="V37" s="9">
        <f t="shared" si="6"/>
        <v>2.0000000000000013</v>
      </c>
      <c r="W37" s="9"/>
      <c r="X37" s="9">
        <f t="shared" si="7"/>
        <v>0.99999999999999933</v>
      </c>
      <c r="Y37" s="9"/>
      <c r="Z37" s="11">
        <f t="shared" si="8"/>
        <v>0</v>
      </c>
      <c r="AA37" s="30"/>
      <c r="AB37" s="11">
        <f t="shared" si="9"/>
        <v>0</v>
      </c>
      <c r="AC37" s="30"/>
      <c r="AD37" s="11">
        <f t="shared" si="10"/>
        <v>0</v>
      </c>
      <c r="AE37" s="30"/>
      <c r="AF37" s="30"/>
    </row>
    <row r="38" spans="1:32" x14ac:dyDescent="0.2">
      <c r="A38" s="9" t="s">
        <v>37</v>
      </c>
      <c r="B38" s="10">
        <v>2434</v>
      </c>
      <c r="C38" s="9">
        <f>SUMIF('2015 Factor % to units'!$B:$B,$B38,'2015 Factor % to units'!$G:$G)</f>
        <v>218.04054054054055</v>
      </c>
      <c r="D38" s="9">
        <f>SUMIF('2015 Factor % to units'!$B:$B,$B38,'2015 Factor % to units'!$X:$X)</f>
        <v>0.98085106382978948</v>
      </c>
      <c r="E38" s="9">
        <f>SUMIF('2015 Factor % to units'!$B:$B,$B38,'2015 Factor % to units'!$Z:$Z)</f>
        <v>1.9617021276595745</v>
      </c>
      <c r="F38" s="9">
        <f>SUMIF('2015 Factor % to units'!$B:$B,$B38,'2015 Factor % to units'!$AB:$AB)</f>
        <v>167.72553191489382</v>
      </c>
      <c r="G38" s="9">
        <f>SUMIF('2015 Factor % to units'!$B:$B,$B38,'2015 Factor % to units'!$AD:$AD)</f>
        <v>215.78723404255334</v>
      </c>
      <c r="H38" s="9">
        <f>SUMIF('2015 Factor % to units'!$B:$B,$B38,'2015 Factor % to units'!$AF:$AF)</f>
        <v>32.368085106382978</v>
      </c>
      <c r="I38" s="9">
        <f>SUMIF('2015 Factor % to units'!$B:$B,$B38,'2015 Factor % to units'!$AH:$AH)</f>
        <v>17.655319148936155</v>
      </c>
      <c r="J38" s="1016">
        <f t="shared" si="2"/>
        <v>654.51926394479631</v>
      </c>
      <c r="K38" s="1016">
        <f t="shared" si="0"/>
        <v>203619.71459146062</v>
      </c>
      <c r="L38" s="1016"/>
      <c r="M38" s="1017">
        <f t="shared" si="1"/>
        <v>208024.86369402698</v>
      </c>
      <c r="N38" s="1017"/>
      <c r="O38" s="1018">
        <f t="shared" si="3"/>
        <v>411644.5782854876</v>
      </c>
      <c r="P38" s="1018"/>
      <c r="Q38" s="1018"/>
      <c r="R38" s="1021">
        <f t="shared" si="4"/>
        <v>218.04054054054055</v>
      </c>
      <c r="S38" s="9"/>
      <c r="T38" s="9">
        <f t="shared" si="5"/>
        <v>0.98085106382978948</v>
      </c>
      <c r="U38" s="9"/>
      <c r="V38" s="9">
        <f t="shared" si="6"/>
        <v>1.9617021276595745</v>
      </c>
      <c r="W38" s="9"/>
      <c r="X38" s="9">
        <f t="shared" si="7"/>
        <v>167.72553191489382</v>
      </c>
      <c r="Y38" s="9"/>
      <c r="Z38" s="11">
        <f t="shared" si="8"/>
        <v>215.78723404255334</v>
      </c>
      <c r="AA38" s="30"/>
      <c r="AB38" s="11">
        <f t="shared" si="9"/>
        <v>32.368085106382978</v>
      </c>
      <c r="AC38" s="30"/>
      <c r="AD38" s="11">
        <f t="shared" si="10"/>
        <v>17.655319148936155</v>
      </c>
      <c r="AE38" s="30"/>
      <c r="AF38" s="30"/>
    </row>
    <row r="39" spans="1:32" x14ac:dyDescent="0.2">
      <c r="A39" s="9" t="s">
        <v>38</v>
      </c>
      <c r="B39" s="10">
        <v>2522</v>
      </c>
      <c r="C39" s="9">
        <f>SUMIF('2015 Factor % to units'!$B:$B,$B39,'2015 Factor % to units'!$G:$G)</f>
        <v>42.276029055690074</v>
      </c>
      <c r="D39" s="9">
        <f>SUMIF('2015 Factor % to units'!$B:$B,$B39,'2015 Factor % to units'!$X:$X)</f>
        <v>16.999999999999989</v>
      </c>
      <c r="E39" s="9">
        <f>SUMIF('2015 Factor % to units'!$B:$B,$B39,'2015 Factor % to units'!$Z:$Z)</f>
        <v>19.000000000000018</v>
      </c>
      <c r="F39" s="9">
        <f>SUMIF('2015 Factor % to units'!$B:$B,$B39,'2015 Factor % to units'!$AB:$AB)</f>
        <v>25.999999999999993</v>
      </c>
      <c r="G39" s="9">
        <f>SUMIF('2015 Factor % to units'!$B:$B,$B39,'2015 Factor % to units'!$AD:$AD)</f>
        <v>13.999999999999991</v>
      </c>
      <c r="H39" s="9">
        <f>SUMIF('2015 Factor % to units'!$B:$B,$B39,'2015 Factor % to units'!$AF:$AF)</f>
        <v>3.0000000000000009</v>
      </c>
      <c r="I39" s="9">
        <f>SUMIF('2015 Factor % to units'!$B:$B,$B39,'2015 Factor % to units'!$AH:$AH)</f>
        <v>1.9999999999999993</v>
      </c>
      <c r="J39" s="1016">
        <f t="shared" si="2"/>
        <v>123.27602905569005</v>
      </c>
      <c r="K39" s="1016">
        <f t="shared" si="0"/>
        <v>39479.965280949073</v>
      </c>
      <c r="L39" s="1016"/>
      <c r="M39" s="1017">
        <f t="shared" si="1"/>
        <v>26886.819950614692</v>
      </c>
      <c r="N39" s="1017"/>
      <c r="O39" s="1018">
        <f t="shared" si="3"/>
        <v>66366.785231563757</v>
      </c>
      <c r="P39" s="1018"/>
      <c r="Q39" s="1018"/>
      <c r="R39" s="1021">
        <f t="shared" si="4"/>
        <v>42.276029055690074</v>
      </c>
      <c r="S39" s="9"/>
      <c r="T39" s="9">
        <f t="shared" si="5"/>
        <v>16.999999999999989</v>
      </c>
      <c r="U39" s="9"/>
      <c r="V39" s="9">
        <f t="shared" si="6"/>
        <v>19.000000000000018</v>
      </c>
      <c r="W39" s="9"/>
      <c r="X39" s="9">
        <f t="shared" si="7"/>
        <v>25.999999999999993</v>
      </c>
      <c r="Y39" s="9"/>
      <c r="Z39" s="11">
        <f t="shared" si="8"/>
        <v>13.999999999999991</v>
      </c>
      <c r="AA39" s="30"/>
      <c r="AB39" s="11">
        <f t="shared" si="9"/>
        <v>3.0000000000000009</v>
      </c>
      <c r="AC39" s="30"/>
      <c r="AD39" s="11">
        <f t="shared" si="10"/>
        <v>1.9999999999999993</v>
      </c>
      <c r="AE39" s="30"/>
      <c r="AF39" s="30"/>
    </row>
    <row r="40" spans="1:32" x14ac:dyDescent="0.2">
      <c r="A40" s="9" t="s">
        <v>39</v>
      </c>
      <c r="B40" s="10">
        <v>2436</v>
      </c>
      <c r="C40" s="9">
        <f>SUMIF('2015 Factor % to units'!$B:$B,$B40,'2015 Factor % to units'!$G:$G)</f>
        <v>63.127272727272725</v>
      </c>
      <c r="D40" s="9">
        <f>SUMIF('2015 Factor % to units'!$B:$B,$B40,'2015 Factor % to units'!$X:$X)</f>
        <v>9.8533724340175812</v>
      </c>
      <c r="E40" s="9">
        <f>SUMIF('2015 Factor % to units'!$B:$B,$B40,'2015 Factor % to units'!$Z:$Z)</f>
        <v>64.046920821114341</v>
      </c>
      <c r="F40" s="9">
        <f>SUMIF('2015 Factor % to units'!$B:$B,$B40,'2015 Factor % to units'!$AB:$AB)</f>
        <v>55.178885630498449</v>
      </c>
      <c r="G40" s="9">
        <f>SUMIF('2015 Factor % to units'!$B:$B,$B40,'2015 Factor % to units'!$AD:$AD)</f>
        <v>10.838709677419343</v>
      </c>
      <c r="H40" s="9">
        <f>SUMIF('2015 Factor % to units'!$B:$B,$B40,'2015 Factor % to units'!$AF:$AF)</f>
        <v>2.9560117302052782</v>
      </c>
      <c r="I40" s="9">
        <f>SUMIF('2015 Factor % to units'!$B:$B,$B40,'2015 Factor % to units'!$AH:$AH)</f>
        <v>0.98533724340175821</v>
      </c>
      <c r="J40" s="1016">
        <f t="shared" si="2"/>
        <v>206.98651026392949</v>
      </c>
      <c r="K40" s="1016">
        <f t="shared" si="0"/>
        <v>58952.143595858572</v>
      </c>
      <c r="L40" s="1016"/>
      <c r="M40" s="1017">
        <f t="shared" si="1"/>
        <v>44420.487812763873</v>
      </c>
      <c r="N40" s="1017"/>
      <c r="O40" s="1018">
        <f t="shared" si="3"/>
        <v>103372.63140862244</v>
      </c>
      <c r="P40" s="1018"/>
      <c r="Q40" s="1018"/>
      <c r="R40" s="1021">
        <f t="shared" si="4"/>
        <v>63.127272727272725</v>
      </c>
      <c r="S40" s="9"/>
      <c r="T40" s="9">
        <f t="shared" si="5"/>
        <v>9.8533724340175812</v>
      </c>
      <c r="U40" s="9"/>
      <c r="V40" s="9">
        <f t="shared" si="6"/>
        <v>64.046920821114341</v>
      </c>
      <c r="W40" s="9"/>
      <c r="X40" s="9">
        <f t="shared" si="7"/>
        <v>55.178885630498449</v>
      </c>
      <c r="Y40" s="9"/>
      <c r="Z40" s="11">
        <f t="shared" si="8"/>
        <v>10.838709677419343</v>
      </c>
      <c r="AA40" s="30"/>
      <c r="AB40" s="11">
        <f t="shared" si="9"/>
        <v>2.9560117302052782</v>
      </c>
      <c r="AC40" s="30"/>
      <c r="AD40" s="11">
        <f t="shared" si="10"/>
        <v>0.98533724340175821</v>
      </c>
      <c r="AE40" s="30"/>
      <c r="AF40" s="30"/>
    </row>
    <row r="41" spans="1:32" x14ac:dyDescent="0.2">
      <c r="A41" s="9" t="s">
        <v>40</v>
      </c>
      <c r="B41" s="10">
        <v>2452</v>
      </c>
      <c r="C41" s="9">
        <f>SUMIF('2015 Factor % to units'!$B:$B,$B41,'2015 Factor % to units'!$G:$G)</f>
        <v>72.836538461538467</v>
      </c>
      <c r="D41" s="9">
        <f>SUMIF('2015 Factor % to units'!$B:$B,$B41,'2015 Factor % to units'!$X:$X)</f>
        <v>12</v>
      </c>
      <c r="E41" s="9">
        <f>SUMIF('2015 Factor % to units'!$B:$B,$B41,'2015 Factor % to units'!$Z:$Z)</f>
        <v>6</v>
      </c>
      <c r="F41" s="9">
        <f>SUMIF('2015 Factor % to units'!$B:$B,$B41,'2015 Factor % to units'!$AB:$AB)</f>
        <v>105.00000000000004</v>
      </c>
      <c r="G41" s="9">
        <f>SUMIF('2015 Factor % to units'!$B:$B,$B41,'2015 Factor % to units'!$AD:$AD)</f>
        <v>3.0000000000000098</v>
      </c>
      <c r="H41" s="9">
        <f>SUMIF('2015 Factor % to units'!$B:$B,$B41,'2015 Factor % to units'!$AF:$AF)</f>
        <v>9.0000000000000089</v>
      </c>
      <c r="I41" s="9">
        <f>SUMIF('2015 Factor % to units'!$B:$B,$B41,'2015 Factor % to units'!$AH:$AH)</f>
        <v>1.9999999999999998</v>
      </c>
      <c r="J41" s="1016">
        <f t="shared" si="2"/>
        <v>209.83653846153851</v>
      </c>
      <c r="K41" s="1016">
        <f t="shared" si="0"/>
        <v>68019.255210986186</v>
      </c>
      <c r="L41" s="1016"/>
      <c r="M41" s="1017">
        <f t="shared" si="1"/>
        <v>51558.301916183394</v>
      </c>
      <c r="N41" s="1017"/>
      <c r="O41" s="1018">
        <f t="shared" si="3"/>
        <v>119577.55712716958</v>
      </c>
      <c r="P41" s="1018"/>
      <c r="Q41" s="1018"/>
      <c r="R41" s="1021">
        <f t="shared" si="4"/>
        <v>72.836538461538467</v>
      </c>
      <c r="S41" s="9"/>
      <c r="T41" s="9">
        <f t="shared" si="5"/>
        <v>12</v>
      </c>
      <c r="U41" s="9"/>
      <c r="V41" s="9">
        <f t="shared" si="6"/>
        <v>6</v>
      </c>
      <c r="W41" s="9"/>
      <c r="X41" s="9">
        <f t="shared" si="7"/>
        <v>105.00000000000004</v>
      </c>
      <c r="Y41" s="9"/>
      <c r="Z41" s="11">
        <f t="shared" si="8"/>
        <v>3.0000000000000098</v>
      </c>
      <c r="AA41" s="30"/>
      <c r="AB41" s="11">
        <f t="shared" si="9"/>
        <v>9.0000000000000089</v>
      </c>
      <c r="AC41" s="30"/>
      <c r="AD41" s="11">
        <f t="shared" si="10"/>
        <v>1.9999999999999998</v>
      </c>
      <c r="AE41" s="30"/>
      <c r="AF41" s="30"/>
    </row>
    <row r="42" spans="1:32" x14ac:dyDescent="0.2">
      <c r="A42" s="9" t="s">
        <v>41</v>
      </c>
      <c r="B42" s="10">
        <v>2627</v>
      </c>
      <c r="C42" s="9">
        <f>SUMIF('2015 Factor % to units'!$B:$B,$B42,'2015 Factor % to units'!$G:$G)</f>
        <v>34.439276485788113</v>
      </c>
      <c r="D42" s="9">
        <f>SUMIF('2015 Factor % to units'!$B:$B,$B42,'2015 Factor % to units'!$X:$X)</f>
        <v>16.040920716112545</v>
      </c>
      <c r="E42" s="9">
        <f>SUMIF('2015 Factor % to units'!$B:$B,$B42,'2015 Factor % to units'!$Z:$Z)</f>
        <v>12.030690537084407</v>
      </c>
      <c r="F42" s="9">
        <f>SUMIF('2015 Factor % to units'!$B:$B,$B42,'2015 Factor % to units'!$AB:$AB)</f>
        <v>13.033248081841423</v>
      </c>
      <c r="G42" s="9">
        <f>SUMIF('2015 Factor % to units'!$B:$B,$B42,'2015 Factor % to units'!$AD:$AD)</f>
        <v>2.0051150895140681</v>
      </c>
      <c r="H42" s="9">
        <f>SUMIF('2015 Factor % to units'!$B:$B,$B42,'2015 Factor % to units'!$AF:$AF)</f>
        <v>0</v>
      </c>
      <c r="I42" s="9">
        <f>SUMIF('2015 Factor % to units'!$B:$B,$B42,'2015 Factor % to units'!$AH:$AH)</f>
        <v>0</v>
      </c>
      <c r="J42" s="1016">
        <f t="shared" si="2"/>
        <v>77.549250910340547</v>
      </c>
      <c r="K42" s="1016">
        <f t="shared" si="0"/>
        <v>32161.522033416215</v>
      </c>
      <c r="L42" s="1016"/>
      <c r="M42" s="1017">
        <f t="shared" si="1"/>
        <v>10238.95139496139</v>
      </c>
      <c r="N42" s="1017"/>
      <c r="O42" s="1018">
        <f t="shared" si="3"/>
        <v>42400.473428377605</v>
      </c>
      <c r="P42" s="1018"/>
      <c r="Q42" s="1018"/>
      <c r="R42" s="1021">
        <f t="shared" si="4"/>
        <v>34.439276485788113</v>
      </c>
      <c r="S42" s="9"/>
      <c r="T42" s="9">
        <f t="shared" si="5"/>
        <v>16.040920716112545</v>
      </c>
      <c r="U42" s="9"/>
      <c r="V42" s="9">
        <f t="shared" si="6"/>
        <v>12.030690537084407</v>
      </c>
      <c r="W42" s="9"/>
      <c r="X42" s="9">
        <f t="shared" si="7"/>
        <v>13.033248081841423</v>
      </c>
      <c r="Y42" s="9"/>
      <c r="Z42" s="11">
        <f t="shared" si="8"/>
        <v>2.0051150895140681</v>
      </c>
      <c r="AA42" s="30"/>
      <c r="AB42" s="11">
        <f t="shared" si="9"/>
        <v>0</v>
      </c>
      <c r="AC42" s="30"/>
      <c r="AD42" s="11">
        <f t="shared" si="10"/>
        <v>0</v>
      </c>
      <c r="AE42" s="30"/>
      <c r="AF42" s="30"/>
    </row>
    <row r="43" spans="1:32" x14ac:dyDescent="0.2">
      <c r="A43" s="9" t="s">
        <v>42</v>
      </c>
      <c r="B43" s="10">
        <v>2009</v>
      </c>
      <c r="C43" s="9">
        <f>SUMIF('2015 Factor % to units'!$B:$B,$B43,'2015 Factor % to units'!$G:$G)</f>
        <v>151.12857142857143</v>
      </c>
      <c r="D43" s="9">
        <f>SUMIF('2015 Factor % to units'!$B:$B,$B43,'2015 Factor % to units'!$X:$X)</f>
        <v>3.9999999999999942</v>
      </c>
      <c r="E43" s="9">
        <f>SUMIF('2015 Factor % to units'!$B:$B,$B43,'2015 Factor % to units'!$Z:$Z)</f>
        <v>11.000000000000005</v>
      </c>
      <c r="F43" s="9">
        <f>SUMIF('2015 Factor % to units'!$B:$B,$B43,'2015 Factor % to units'!$AB:$AB)</f>
        <v>8.9999999999999947</v>
      </c>
      <c r="G43" s="9">
        <f>SUMIF('2015 Factor % to units'!$B:$B,$B43,'2015 Factor % to units'!$AD:$AD)</f>
        <v>121</v>
      </c>
      <c r="H43" s="9">
        <f>SUMIF('2015 Factor % to units'!$B:$B,$B43,'2015 Factor % to units'!$AF:$AF)</f>
        <v>57.000000000000092</v>
      </c>
      <c r="I43" s="9">
        <f>SUMIF('2015 Factor % to units'!$B:$B,$B43,'2015 Factor % to units'!$AH:$AH)</f>
        <v>45.999999999999858</v>
      </c>
      <c r="J43" s="1016">
        <f t="shared" si="2"/>
        <v>399.12857142857138</v>
      </c>
      <c r="K43" s="1016">
        <f t="shared" si="0"/>
        <v>141133.1879136452</v>
      </c>
      <c r="L43" s="1016"/>
      <c r="M43" s="1017">
        <f t="shared" si="1"/>
        <v>159812.19904216027</v>
      </c>
      <c r="N43" s="1017"/>
      <c r="O43" s="1018">
        <f t="shared" si="3"/>
        <v>300945.38695580547</v>
      </c>
      <c r="P43" s="1018"/>
      <c r="Q43" s="1018"/>
      <c r="R43" s="1021">
        <f t="shared" si="4"/>
        <v>151.12857142857143</v>
      </c>
      <c r="S43" s="9"/>
      <c r="T43" s="9">
        <f t="shared" si="5"/>
        <v>3.9999999999999942</v>
      </c>
      <c r="U43" s="9"/>
      <c r="V43" s="9">
        <f t="shared" si="6"/>
        <v>11.000000000000005</v>
      </c>
      <c r="W43" s="9"/>
      <c r="X43" s="9">
        <f t="shared" si="7"/>
        <v>8.9999999999999947</v>
      </c>
      <c r="Y43" s="9"/>
      <c r="Z43" s="11">
        <f t="shared" si="8"/>
        <v>121</v>
      </c>
      <c r="AA43" s="30"/>
      <c r="AB43" s="11">
        <f t="shared" si="9"/>
        <v>57.000000000000092</v>
      </c>
      <c r="AC43" s="30"/>
      <c r="AD43" s="11">
        <f t="shared" si="10"/>
        <v>45.999999999999858</v>
      </c>
      <c r="AE43" s="30"/>
      <c r="AF43" s="30"/>
    </row>
    <row r="44" spans="1:32" x14ac:dyDescent="0.2">
      <c r="A44" s="9" t="s">
        <v>101</v>
      </c>
      <c r="B44" s="10">
        <v>2473</v>
      </c>
      <c r="C44" s="9">
        <f>SUMIF('2015 Factor % to units'!$B:$B,$B44,'2015 Factor % to units'!$G:$G)</f>
        <v>90.00760456273764</v>
      </c>
      <c r="D44" s="9">
        <f>SUMIF('2015 Factor % to units'!$B:$B,$B44,'2015 Factor % to units'!$X:$X)</f>
        <v>2.0074626865671643</v>
      </c>
      <c r="E44" s="9">
        <f>SUMIF('2015 Factor % to units'!$B:$B,$B44,'2015 Factor % to units'!$Z:$Z)</f>
        <v>23.085820895522399</v>
      </c>
      <c r="F44" s="9">
        <f>SUMIF('2015 Factor % to units'!$B:$B,$B44,'2015 Factor % to units'!$AB:$AB)</f>
        <v>43.160447761194071</v>
      </c>
      <c r="G44" s="9">
        <f>SUMIF('2015 Factor % to units'!$B:$B,$B44,'2015 Factor % to units'!$AD:$AD)</f>
        <v>30.111940298507545</v>
      </c>
      <c r="H44" s="9">
        <f>SUMIF('2015 Factor % to units'!$B:$B,$B44,'2015 Factor % to units'!$AF:$AF)</f>
        <v>72.268656716417794</v>
      </c>
      <c r="I44" s="9">
        <f>SUMIF('2015 Factor % to units'!$B:$B,$B44,'2015 Factor % to units'!$AH:$AH)</f>
        <v>4.0149253731343393</v>
      </c>
      <c r="J44" s="1016">
        <f t="shared" si="2"/>
        <v>264.65685829408096</v>
      </c>
      <c r="K44" s="1016">
        <f t="shared" si="0"/>
        <v>84054.656563824028</v>
      </c>
      <c r="L44" s="1016"/>
      <c r="M44" s="1017">
        <f t="shared" si="1"/>
        <v>106664.92947561143</v>
      </c>
      <c r="N44" s="1017"/>
      <c r="O44" s="1018">
        <f t="shared" si="3"/>
        <v>190719.58603943547</v>
      </c>
      <c r="P44" s="1018"/>
      <c r="Q44" s="1018"/>
      <c r="R44" s="1021">
        <f t="shared" si="4"/>
        <v>90.00760456273764</v>
      </c>
      <c r="S44" s="9"/>
      <c r="T44" s="9">
        <f t="shared" si="5"/>
        <v>2.0074626865671643</v>
      </c>
      <c r="U44" s="9"/>
      <c r="V44" s="9">
        <f t="shared" si="6"/>
        <v>23.085820895522399</v>
      </c>
      <c r="W44" s="9"/>
      <c r="X44" s="9">
        <f t="shared" si="7"/>
        <v>43.160447761194071</v>
      </c>
      <c r="Y44" s="9"/>
      <c r="Z44" s="11">
        <f t="shared" si="8"/>
        <v>30.111940298507545</v>
      </c>
      <c r="AA44" s="30"/>
      <c r="AB44" s="11">
        <f t="shared" si="9"/>
        <v>72.268656716417794</v>
      </c>
      <c r="AC44" s="30"/>
      <c r="AD44" s="11">
        <f t="shared" si="10"/>
        <v>4.0149253731343393</v>
      </c>
      <c r="AE44" s="30"/>
      <c r="AF44" s="30"/>
    </row>
    <row r="45" spans="1:32" x14ac:dyDescent="0.2">
      <c r="A45" s="9" t="s">
        <v>44</v>
      </c>
      <c r="B45" s="10">
        <v>2471</v>
      </c>
      <c r="C45" s="9">
        <f>SUMIF('2015 Factor % to units'!$B:$B,$B45,'2015 Factor % to units'!$G:$G)</f>
        <v>146.67630057803467</v>
      </c>
      <c r="D45" s="9">
        <f>SUMIF('2015 Factor % to units'!$B:$B,$B45,'2015 Factor % to units'!$X:$X)</f>
        <v>5.0287356321839001</v>
      </c>
      <c r="E45" s="9">
        <f>SUMIF('2015 Factor % to units'!$B:$B,$B45,'2015 Factor % to units'!$Z:$Z)</f>
        <v>24.137931034482754</v>
      </c>
      <c r="F45" s="9">
        <f>SUMIF('2015 Factor % to units'!$B:$B,$B45,'2015 Factor % to units'!$AB:$AB)</f>
        <v>58.333333333333449</v>
      </c>
      <c r="G45" s="9">
        <f>SUMIF('2015 Factor % to units'!$B:$B,$B45,'2015 Factor % to units'!$AD:$AD)</f>
        <v>39.224137931034349</v>
      </c>
      <c r="H45" s="9">
        <f>SUMIF('2015 Factor % to units'!$B:$B,$B45,'2015 Factor % to units'!$AF:$AF)</f>
        <v>76.43678160919535</v>
      </c>
      <c r="I45" s="9">
        <f>SUMIF('2015 Factor % to units'!$B:$B,$B45,'2015 Factor % to units'!$AH:$AH)</f>
        <v>7.0402298850574603</v>
      </c>
      <c r="J45" s="1016">
        <f t="shared" si="2"/>
        <v>356.87745000332194</v>
      </c>
      <c r="K45" s="1016">
        <f t="shared" si="0"/>
        <v>136975.38259164998</v>
      </c>
      <c r="L45" s="1016"/>
      <c r="M45" s="1017">
        <f t="shared" si="1"/>
        <v>123650.31149718892</v>
      </c>
      <c r="N45" s="1017"/>
      <c r="O45" s="1018">
        <f t="shared" si="3"/>
        <v>260625.69408883888</v>
      </c>
      <c r="P45" s="1018"/>
      <c r="Q45" s="1018"/>
      <c r="R45" s="1021">
        <f t="shared" si="4"/>
        <v>146.67630057803467</v>
      </c>
      <c r="S45" s="9"/>
      <c r="T45" s="9">
        <f t="shared" si="5"/>
        <v>5.0287356321839001</v>
      </c>
      <c r="U45" s="9"/>
      <c r="V45" s="9">
        <f t="shared" si="6"/>
        <v>24.137931034482754</v>
      </c>
      <c r="W45" s="9"/>
      <c r="X45" s="9">
        <f t="shared" si="7"/>
        <v>58.333333333333449</v>
      </c>
      <c r="Y45" s="9"/>
      <c r="Z45" s="11">
        <f t="shared" si="8"/>
        <v>39.224137931034349</v>
      </c>
      <c r="AA45" s="30"/>
      <c r="AB45" s="11">
        <f t="shared" si="9"/>
        <v>76.43678160919535</v>
      </c>
      <c r="AC45" s="30"/>
      <c r="AD45" s="11">
        <f t="shared" si="10"/>
        <v>7.0402298850574603</v>
      </c>
      <c r="AE45" s="30"/>
      <c r="AF45" s="30"/>
    </row>
    <row r="46" spans="1:32" x14ac:dyDescent="0.2">
      <c r="A46" s="9" t="s">
        <v>43</v>
      </c>
      <c r="B46" s="10">
        <v>2420</v>
      </c>
      <c r="C46" s="9">
        <f>SUMIF('2015 Factor % to units'!$B:$B,$B46,'2015 Factor % to units'!$G:$G)</f>
        <v>322.82089552238801</v>
      </c>
      <c r="D46" s="9">
        <f>SUMIF('2015 Factor % to units'!$B:$B,$B46,'2015 Factor % to units'!$X:$X)</f>
        <v>0</v>
      </c>
      <c r="E46" s="9">
        <f>SUMIF('2015 Factor % to units'!$B:$B,$B46,'2015 Factor % to units'!$Z:$Z)</f>
        <v>7.0279441117764705</v>
      </c>
      <c r="F46" s="9">
        <f>SUMIF('2015 Factor % to units'!$B:$B,$B46,'2015 Factor % to units'!$AB:$AB)</f>
        <v>48.19161676646705</v>
      </c>
      <c r="G46" s="9">
        <f>SUMIF('2015 Factor % to units'!$B:$B,$B46,'2015 Factor % to units'!$AD:$AD)</f>
        <v>59.23552894211565</v>
      </c>
      <c r="H46" s="9">
        <f>SUMIF('2015 Factor % to units'!$B:$B,$B46,'2015 Factor % to units'!$AF:$AF)</f>
        <v>80.319361277445168</v>
      </c>
      <c r="I46" s="9">
        <f>SUMIF('2015 Factor % to units'!$B:$B,$B46,'2015 Factor % to units'!$AH:$AH)</f>
        <v>306.21756487025971</v>
      </c>
      <c r="J46" s="1016">
        <f t="shared" si="2"/>
        <v>823.81291149045205</v>
      </c>
      <c r="K46" s="1016">
        <f t="shared" si="0"/>
        <v>301470.07729604584</v>
      </c>
      <c r="L46" s="1016"/>
      <c r="M46" s="1017">
        <f t="shared" si="1"/>
        <v>409564.47297741886</v>
      </c>
      <c r="N46" s="1017"/>
      <c r="O46" s="1018">
        <f t="shared" si="3"/>
        <v>711034.55027346476</v>
      </c>
      <c r="P46" s="1018"/>
      <c r="Q46" s="1018"/>
      <c r="R46" s="1021">
        <f t="shared" si="4"/>
        <v>322.82089552238801</v>
      </c>
      <c r="S46" s="9"/>
      <c r="T46" s="9">
        <f t="shared" si="5"/>
        <v>0</v>
      </c>
      <c r="U46" s="9"/>
      <c r="V46" s="9">
        <f t="shared" si="6"/>
        <v>7.0279441117764705</v>
      </c>
      <c r="W46" s="9"/>
      <c r="X46" s="9">
        <f t="shared" si="7"/>
        <v>48.19161676646705</v>
      </c>
      <c r="Y46" s="9"/>
      <c r="Z46" s="11">
        <f t="shared" si="8"/>
        <v>59.23552894211565</v>
      </c>
      <c r="AA46" s="30"/>
      <c r="AB46" s="11">
        <f t="shared" si="9"/>
        <v>80.319361277445168</v>
      </c>
      <c r="AC46" s="30"/>
      <c r="AD46" s="11">
        <f t="shared" si="10"/>
        <v>306.21756487025971</v>
      </c>
      <c r="AE46" s="30"/>
      <c r="AF46" s="30"/>
    </row>
    <row r="47" spans="1:32" x14ac:dyDescent="0.2">
      <c r="A47" s="9" t="s">
        <v>45</v>
      </c>
      <c r="B47" s="10">
        <v>2003</v>
      </c>
      <c r="C47" s="9">
        <f>SUMIF('2015 Factor % to units'!$B:$B,$B47,'2015 Factor % to units'!$G:$G)</f>
        <v>15.142180094786729</v>
      </c>
      <c r="D47" s="9">
        <f>SUMIF('2015 Factor % to units'!$B:$B,$B47,'2015 Factor % to units'!$X:$X)</f>
        <v>8.0000000000000018</v>
      </c>
      <c r="E47" s="9">
        <f>SUMIF('2015 Factor % to units'!$B:$B,$B47,'2015 Factor % to units'!$Z:$Z)</f>
        <v>0.99999999999999933</v>
      </c>
      <c r="F47" s="9">
        <f>SUMIF('2015 Factor % to units'!$B:$B,$B47,'2015 Factor % to units'!$AB:$AB)</f>
        <v>2.0000000000000004</v>
      </c>
      <c r="G47" s="9">
        <f>SUMIF('2015 Factor % to units'!$B:$B,$B47,'2015 Factor % to units'!$AD:$AD)</f>
        <v>0</v>
      </c>
      <c r="H47" s="9">
        <f>SUMIF('2015 Factor % to units'!$B:$B,$B47,'2015 Factor % to units'!$AF:$AF)</f>
        <v>0</v>
      </c>
      <c r="I47" s="9">
        <f>SUMIF('2015 Factor % to units'!$B:$B,$B47,'2015 Factor % to units'!$AH:$AH)</f>
        <v>0</v>
      </c>
      <c r="J47" s="1016">
        <f t="shared" si="2"/>
        <v>26.142180094786731</v>
      </c>
      <c r="K47" s="1016">
        <f t="shared" si="0"/>
        <v>14140.702373739063</v>
      </c>
      <c r="L47" s="1016"/>
      <c r="M47" s="1017">
        <f t="shared" si="1"/>
        <v>1877.8627068326216</v>
      </c>
      <c r="N47" s="1017"/>
      <c r="O47" s="1018">
        <f t="shared" si="3"/>
        <v>16018.565080571685</v>
      </c>
      <c r="P47" s="1018"/>
      <c r="Q47" s="1018"/>
      <c r="R47" s="1021">
        <f t="shared" si="4"/>
        <v>15.142180094786729</v>
      </c>
      <c r="S47" s="9"/>
      <c r="T47" s="9">
        <f t="shared" si="5"/>
        <v>8.0000000000000018</v>
      </c>
      <c r="U47" s="9"/>
      <c r="V47" s="9">
        <f t="shared" si="6"/>
        <v>0.99999999999999933</v>
      </c>
      <c r="W47" s="9"/>
      <c r="X47" s="9">
        <f t="shared" si="7"/>
        <v>2.0000000000000004</v>
      </c>
      <c r="Y47" s="9"/>
      <c r="Z47" s="11">
        <f t="shared" si="8"/>
        <v>0</v>
      </c>
      <c r="AA47" s="30"/>
      <c r="AB47" s="11">
        <f t="shared" si="9"/>
        <v>0</v>
      </c>
      <c r="AC47" s="30"/>
      <c r="AD47" s="11">
        <f t="shared" si="10"/>
        <v>0</v>
      </c>
      <c r="AE47" s="30"/>
      <c r="AF47" s="30"/>
    </row>
    <row r="48" spans="1:32" x14ac:dyDescent="0.2">
      <c r="A48" s="9" t="s">
        <v>46</v>
      </c>
      <c r="B48" s="10">
        <v>2423</v>
      </c>
      <c r="C48" s="9">
        <f>SUMIF('2015 Factor % to units'!$B:$B,$B48,'2015 Factor % to units'!$G:$G)</f>
        <v>199.42896935933146</v>
      </c>
      <c r="D48" s="9">
        <f>SUMIF('2015 Factor % to units'!$B:$B,$B48,'2015 Factor % to units'!$X:$X)</f>
        <v>0</v>
      </c>
      <c r="E48" s="9">
        <f>SUMIF('2015 Factor % to units'!$B:$B,$B48,'2015 Factor % to units'!$Z:$Z)</f>
        <v>18.108761329305146</v>
      </c>
      <c r="F48" s="9">
        <f>SUMIF('2015 Factor % to units'!$B:$B,$B48,'2015 Factor % to units'!$AB:$AB)</f>
        <v>151.91238670694855</v>
      </c>
      <c r="G48" s="9">
        <f>SUMIF('2015 Factor % to units'!$B:$B,$B48,'2015 Factor % to units'!$AD:$AD)</f>
        <v>94.567975830815712</v>
      </c>
      <c r="H48" s="9">
        <f>SUMIF('2015 Factor % to units'!$B:$B,$B48,'2015 Factor % to units'!$AF:$AF)</f>
        <v>44.265861027190276</v>
      </c>
      <c r="I48" s="9">
        <f>SUMIF('2015 Factor % to units'!$B:$B,$B48,'2015 Factor % to units'!$AH:$AH)</f>
        <v>17.102719033232628</v>
      </c>
      <c r="J48" s="1016">
        <f t="shared" si="2"/>
        <v>525.38667328682379</v>
      </c>
      <c r="K48" s="1016">
        <f t="shared" si="0"/>
        <v>186239.08068447476</v>
      </c>
      <c r="L48" s="1016"/>
      <c r="M48" s="1017">
        <f t="shared" si="1"/>
        <v>159847.72502297271</v>
      </c>
      <c r="N48" s="1017"/>
      <c r="O48" s="1018">
        <f t="shared" si="3"/>
        <v>346086.80570744746</v>
      </c>
      <c r="P48" s="1018"/>
      <c r="Q48" s="1018"/>
      <c r="R48" s="1021">
        <f t="shared" si="4"/>
        <v>199.42896935933146</v>
      </c>
      <c r="S48" s="9"/>
      <c r="T48" s="9">
        <f t="shared" si="5"/>
        <v>0</v>
      </c>
      <c r="U48" s="9"/>
      <c r="V48" s="9">
        <f t="shared" si="6"/>
        <v>18.108761329305146</v>
      </c>
      <c r="W48" s="9"/>
      <c r="X48" s="9">
        <f t="shared" si="7"/>
        <v>151.91238670694855</v>
      </c>
      <c r="Y48" s="9"/>
      <c r="Z48" s="11">
        <f t="shared" si="8"/>
        <v>94.567975830815712</v>
      </c>
      <c r="AA48" s="30"/>
      <c r="AB48" s="11">
        <f t="shared" si="9"/>
        <v>44.265861027190276</v>
      </c>
      <c r="AC48" s="30"/>
      <c r="AD48" s="11">
        <f t="shared" si="10"/>
        <v>17.102719033232628</v>
      </c>
      <c r="AE48" s="30"/>
      <c r="AF48" s="30"/>
    </row>
    <row r="49" spans="1:32" x14ac:dyDescent="0.2">
      <c r="A49" s="9" t="s">
        <v>47</v>
      </c>
      <c r="B49" s="10">
        <v>2424</v>
      </c>
      <c r="C49" s="9">
        <f>SUMIF('2015 Factor % to units'!$B:$B,$B49,'2015 Factor % to units'!$G:$G)</f>
        <v>136.49446494464945</v>
      </c>
      <c r="D49" s="9">
        <f>SUMIF('2015 Factor % to units'!$B:$B,$B49,'2015 Factor % to units'!$X:$X)</f>
        <v>1.0037174721189597</v>
      </c>
      <c r="E49" s="9">
        <f>SUMIF('2015 Factor % to units'!$B:$B,$B49,'2015 Factor % to units'!$Z:$Z)</f>
        <v>3.0111524163568713</v>
      </c>
      <c r="F49" s="9">
        <f>SUMIF('2015 Factor % to units'!$B:$B,$B49,'2015 Factor % to units'!$AB:$AB)</f>
        <v>114.42379182156125</v>
      </c>
      <c r="G49" s="9">
        <f>SUMIF('2015 Factor % to units'!$B:$B,$B49,'2015 Factor % to units'!$AD:$AD)</f>
        <v>113.42007434944233</v>
      </c>
      <c r="H49" s="9">
        <f>SUMIF('2015 Factor % to units'!$B:$B,$B49,'2015 Factor % to units'!$AF:$AF)</f>
        <v>26.096654275092934</v>
      </c>
      <c r="I49" s="9">
        <f>SUMIF('2015 Factor % to units'!$B:$B,$B49,'2015 Factor % to units'!$AH:$AH)</f>
        <v>7.0260223048327264</v>
      </c>
      <c r="J49" s="1016">
        <f t="shared" si="2"/>
        <v>401.47587758405456</v>
      </c>
      <c r="K49" s="1016">
        <f t="shared" si="0"/>
        <v>127466.95603690299</v>
      </c>
      <c r="L49" s="1016"/>
      <c r="M49" s="1017">
        <f t="shared" si="1"/>
        <v>125533.40326888929</v>
      </c>
      <c r="N49" s="1017"/>
      <c r="O49" s="1018">
        <f t="shared" si="3"/>
        <v>253000.35930579228</v>
      </c>
      <c r="P49" s="1018"/>
      <c r="Q49" s="1018"/>
      <c r="R49" s="1021">
        <f t="shared" si="4"/>
        <v>136.49446494464945</v>
      </c>
      <c r="S49" s="9"/>
      <c r="T49" s="9">
        <f t="shared" si="5"/>
        <v>1.0037174721189597</v>
      </c>
      <c r="U49" s="9"/>
      <c r="V49" s="9">
        <f t="shared" si="6"/>
        <v>3.0111524163568713</v>
      </c>
      <c r="W49" s="9"/>
      <c r="X49" s="9">
        <f t="shared" si="7"/>
        <v>114.42379182156125</v>
      </c>
      <c r="Y49" s="9"/>
      <c r="Z49" s="11">
        <f t="shared" si="8"/>
        <v>113.42007434944233</v>
      </c>
      <c r="AA49" s="30"/>
      <c r="AB49" s="11">
        <f t="shared" si="9"/>
        <v>26.096654275092934</v>
      </c>
      <c r="AC49" s="30"/>
      <c r="AD49" s="11">
        <f t="shared" si="10"/>
        <v>7.0260223048327264</v>
      </c>
      <c r="AE49" s="30"/>
      <c r="AF49" s="30"/>
    </row>
    <row r="50" spans="1:32" x14ac:dyDescent="0.2">
      <c r="A50" s="9" t="s">
        <v>48</v>
      </c>
      <c r="B50" s="10">
        <v>2439</v>
      </c>
      <c r="C50" s="9">
        <f>SUMIF('2015 Factor % to units'!$B:$B,$B50,'2015 Factor % to units'!$G:$G)</f>
        <v>22.032786885245901</v>
      </c>
      <c r="D50" s="9">
        <f>SUMIF('2015 Factor % to units'!$B:$B,$B50,'2015 Factor % to units'!$X:$X)</f>
        <v>6</v>
      </c>
      <c r="E50" s="9">
        <f>SUMIF('2015 Factor % to units'!$B:$B,$B50,'2015 Factor % to units'!$Z:$Z)</f>
        <v>6</v>
      </c>
      <c r="F50" s="9">
        <f>SUMIF('2015 Factor % to units'!$B:$B,$B50,'2015 Factor % to units'!$AB:$AB)</f>
        <v>6</v>
      </c>
      <c r="G50" s="9">
        <f>SUMIF('2015 Factor % to units'!$B:$B,$B50,'2015 Factor % to units'!$AD:$AD)</f>
        <v>2</v>
      </c>
      <c r="H50" s="9">
        <f>SUMIF('2015 Factor % to units'!$B:$B,$B50,'2015 Factor % to units'!$AF:$AF)</f>
        <v>2</v>
      </c>
      <c r="I50" s="9">
        <f>SUMIF('2015 Factor % to units'!$B:$B,$B50,'2015 Factor % to units'!$AH:$AH)</f>
        <v>0</v>
      </c>
      <c r="J50" s="1016">
        <f t="shared" si="2"/>
        <v>44.032786885245898</v>
      </c>
      <c r="K50" s="1016">
        <f t="shared" si="0"/>
        <v>20575.576294694161</v>
      </c>
      <c r="L50" s="1016"/>
      <c r="M50" s="1017">
        <f t="shared" si="1"/>
        <v>7044.090630685716</v>
      </c>
      <c r="N50" s="1017"/>
      <c r="O50" s="1018">
        <f t="shared" si="3"/>
        <v>27619.666925379875</v>
      </c>
      <c r="P50" s="1018"/>
      <c r="Q50" s="1018"/>
      <c r="R50" s="1021">
        <f t="shared" si="4"/>
        <v>22.032786885245901</v>
      </c>
      <c r="S50" s="9"/>
      <c r="T50" s="9">
        <f t="shared" si="5"/>
        <v>6</v>
      </c>
      <c r="U50" s="9"/>
      <c r="V50" s="9">
        <f t="shared" si="6"/>
        <v>6</v>
      </c>
      <c r="W50" s="9"/>
      <c r="X50" s="9">
        <f t="shared" si="7"/>
        <v>6</v>
      </c>
      <c r="Y50" s="9"/>
      <c r="Z50" s="11">
        <f t="shared" si="8"/>
        <v>2</v>
      </c>
      <c r="AA50" s="30"/>
      <c r="AB50" s="11">
        <f t="shared" si="9"/>
        <v>2</v>
      </c>
      <c r="AC50" s="30"/>
      <c r="AD50" s="11">
        <f t="shared" si="10"/>
        <v>0</v>
      </c>
      <c r="AE50" s="30"/>
      <c r="AF50" s="30"/>
    </row>
    <row r="51" spans="1:32" x14ac:dyDescent="0.2">
      <c r="A51" s="9" t="s">
        <v>49</v>
      </c>
      <c r="B51" s="10">
        <v>2440</v>
      </c>
      <c r="C51" s="9">
        <f>SUMIF('2015 Factor % to units'!$B:$B,$B51,'2015 Factor % to units'!$G:$G)</f>
        <v>34.141891891891895</v>
      </c>
      <c r="D51" s="9">
        <f>SUMIF('2015 Factor % to units'!$B:$B,$B51,'2015 Factor % to units'!$X:$X)</f>
        <v>2.9999999999999996</v>
      </c>
      <c r="E51" s="9">
        <f>SUMIF('2015 Factor % to units'!$B:$B,$B51,'2015 Factor % to units'!$Z:$Z)</f>
        <v>2.9999999999999996</v>
      </c>
      <c r="F51" s="9">
        <f>SUMIF('2015 Factor % to units'!$B:$B,$B51,'2015 Factor % to units'!$AB:$AB)</f>
        <v>10.000000000000009</v>
      </c>
      <c r="G51" s="9">
        <f>SUMIF('2015 Factor % to units'!$B:$B,$B51,'2015 Factor % to units'!$AD:$AD)</f>
        <v>2.9999999999999996</v>
      </c>
      <c r="H51" s="9">
        <f>SUMIF('2015 Factor % to units'!$B:$B,$B51,'2015 Factor % to units'!$AF:$AF)</f>
        <v>1.0000000000000009</v>
      </c>
      <c r="I51" s="9">
        <f>SUMIF('2015 Factor % to units'!$B:$B,$B51,'2015 Factor % to units'!$AH:$AH)</f>
        <v>0</v>
      </c>
      <c r="J51" s="1016">
        <f t="shared" si="2"/>
        <v>54.141891891891902</v>
      </c>
      <c r="K51" s="1016">
        <f t="shared" si="0"/>
        <v>31883.805944550684</v>
      </c>
      <c r="L51" s="1016"/>
      <c r="M51" s="1017">
        <f t="shared" si="1"/>
        <v>6928.1266000061014</v>
      </c>
      <c r="N51" s="1017"/>
      <c r="O51" s="1018">
        <f t="shared" si="3"/>
        <v>38811.932544556788</v>
      </c>
      <c r="P51" s="1018"/>
      <c r="Q51" s="1018"/>
      <c r="R51" s="1021">
        <f t="shared" si="4"/>
        <v>34.141891891891895</v>
      </c>
      <c r="S51" s="9"/>
      <c r="T51" s="9">
        <f t="shared" si="5"/>
        <v>2.9999999999999996</v>
      </c>
      <c r="U51" s="9"/>
      <c r="V51" s="9">
        <f t="shared" si="6"/>
        <v>2.9999999999999996</v>
      </c>
      <c r="W51" s="9"/>
      <c r="X51" s="9">
        <f t="shared" si="7"/>
        <v>10.000000000000009</v>
      </c>
      <c r="Y51" s="9"/>
      <c r="Z51" s="11">
        <f t="shared" si="8"/>
        <v>2.9999999999999996</v>
      </c>
      <c r="AA51" s="30"/>
      <c r="AB51" s="11">
        <f t="shared" si="9"/>
        <v>1.0000000000000009</v>
      </c>
      <c r="AC51" s="30"/>
      <c r="AD51" s="11">
        <f t="shared" si="10"/>
        <v>0</v>
      </c>
      <c r="AE51" s="30"/>
      <c r="AF51" s="30"/>
    </row>
    <row r="52" spans="1:32" x14ac:dyDescent="0.2">
      <c r="A52" s="9" t="s">
        <v>102</v>
      </c>
      <c r="B52" s="10">
        <v>2462</v>
      </c>
      <c r="C52" s="9">
        <f>SUMIF('2015 Factor % to units'!$B:$B,$B52,'2015 Factor % to units'!$G:$G)</f>
        <v>31.09009009009009</v>
      </c>
      <c r="D52" s="9">
        <f>SUMIF('2015 Factor % to units'!$B:$B,$B52,'2015 Factor % to units'!$X:$X)</f>
        <v>8.0337552742616101</v>
      </c>
      <c r="E52" s="9">
        <f>SUMIF('2015 Factor % to units'!$B:$B,$B52,'2015 Factor % to units'!$Z:$Z)</f>
        <v>19.080168776371302</v>
      </c>
      <c r="F52" s="9">
        <f>SUMIF('2015 Factor % to units'!$B:$B,$B52,'2015 Factor % to units'!$AB:$AB)</f>
        <v>27.113924050632818</v>
      </c>
      <c r="G52" s="9">
        <f>SUMIF('2015 Factor % to units'!$B:$B,$B52,'2015 Factor % to units'!$AD:$AD)</f>
        <v>9.037974683544304</v>
      </c>
      <c r="H52" s="9">
        <f>SUMIF('2015 Factor % to units'!$B:$B,$B52,'2015 Factor % to units'!$AF:$AF)</f>
        <v>3.0126582278481093</v>
      </c>
      <c r="I52" s="9">
        <f>SUMIF('2015 Factor % to units'!$B:$B,$B52,'2015 Factor % to units'!$AH:$AH)</f>
        <v>8.0337552742616101</v>
      </c>
      <c r="J52" s="1016">
        <f t="shared" si="2"/>
        <v>105.40232637700984</v>
      </c>
      <c r="K52" s="1016">
        <f t="shared" si="0"/>
        <v>29033.845059606676</v>
      </c>
      <c r="L52" s="1016"/>
      <c r="M52" s="1017">
        <f t="shared" si="1"/>
        <v>29595.686297866992</v>
      </c>
      <c r="N52" s="1017"/>
      <c r="O52" s="1018">
        <f t="shared" si="3"/>
        <v>58629.531357473665</v>
      </c>
      <c r="P52" s="1018"/>
      <c r="Q52" s="1018"/>
      <c r="R52" s="1021">
        <f t="shared" si="4"/>
        <v>31.09009009009009</v>
      </c>
      <c r="S52" s="9"/>
      <c r="T52" s="9">
        <f t="shared" si="5"/>
        <v>8.0337552742616101</v>
      </c>
      <c r="U52" s="9"/>
      <c r="V52" s="9">
        <f t="shared" si="6"/>
        <v>19.080168776371302</v>
      </c>
      <c r="W52" s="9"/>
      <c r="X52" s="9">
        <f t="shared" si="7"/>
        <v>27.113924050632818</v>
      </c>
      <c r="Y52" s="9"/>
      <c r="Z52" s="11">
        <f t="shared" si="8"/>
        <v>9.037974683544304</v>
      </c>
      <c r="AA52" s="30"/>
      <c r="AB52" s="11">
        <f t="shared" si="9"/>
        <v>3.0126582278481093</v>
      </c>
      <c r="AC52" s="30"/>
      <c r="AD52" s="11">
        <f t="shared" si="10"/>
        <v>8.0337552742616101</v>
      </c>
      <c r="AE52" s="30"/>
      <c r="AF52" s="30"/>
    </row>
    <row r="53" spans="1:32" x14ac:dyDescent="0.2">
      <c r="A53" s="9" t="s">
        <v>50</v>
      </c>
      <c r="B53" s="10">
        <v>2463</v>
      </c>
      <c r="C53" s="9">
        <f>SUMIF('2015 Factor % to units'!$B:$B,$B53,'2015 Factor % to units'!$G:$G)</f>
        <v>72.708196721311481</v>
      </c>
      <c r="D53" s="9">
        <f>SUMIF('2015 Factor % to units'!$B:$B,$B53,'2015 Factor % to units'!$X:$X)</f>
        <v>12.071856287425133</v>
      </c>
      <c r="E53" s="9">
        <f>SUMIF('2015 Factor % to units'!$B:$B,$B53,'2015 Factor % to units'!$Z:$Z)</f>
        <v>21.125748502994014</v>
      </c>
      <c r="F53" s="9">
        <f>SUMIF('2015 Factor % to units'!$B:$B,$B53,'2015 Factor % to units'!$AB:$AB)</f>
        <v>31.185628742514961</v>
      </c>
      <c r="G53" s="9">
        <f>SUMIF('2015 Factor % to units'!$B:$B,$B53,'2015 Factor % to units'!$AD:$AD)</f>
        <v>10.059880239520943</v>
      </c>
      <c r="H53" s="9">
        <f>SUMIF('2015 Factor % to units'!$B:$B,$B53,'2015 Factor % to units'!$AF:$AF)</f>
        <v>5.0299401197604716</v>
      </c>
      <c r="I53" s="9">
        <f>SUMIF('2015 Factor % to units'!$B:$B,$B53,'2015 Factor % to units'!$AH:$AH)</f>
        <v>4.0239520958083776</v>
      </c>
      <c r="J53" s="1016">
        <f t="shared" si="2"/>
        <v>156.20520270933537</v>
      </c>
      <c r="K53" s="1016">
        <f t="shared" si="0"/>
        <v>67899.401772490732</v>
      </c>
      <c r="L53" s="1016"/>
      <c r="M53" s="1017">
        <f t="shared" si="1"/>
        <v>30592.359066855814</v>
      </c>
      <c r="N53" s="1017"/>
      <c r="O53" s="1018">
        <f t="shared" si="3"/>
        <v>98491.760839346549</v>
      </c>
      <c r="P53" s="1018"/>
      <c r="Q53" s="1018"/>
      <c r="R53" s="1021">
        <f t="shared" si="4"/>
        <v>72.708196721311481</v>
      </c>
      <c r="S53" s="9"/>
      <c r="T53" s="9">
        <f t="shared" si="5"/>
        <v>12.071856287425133</v>
      </c>
      <c r="U53" s="9"/>
      <c r="V53" s="9">
        <f t="shared" si="6"/>
        <v>21.125748502994014</v>
      </c>
      <c r="W53" s="9"/>
      <c r="X53" s="9">
        <f t="shared" si="7"/>
        <v>31.185628742514961</v>
      </c>
      <c r="Y53" s="9"/>
      <c r="Z53" s="11">
        <f t="shared" si="8"/>
        <v>10.059880239520943</v>
      </c>
      <c r="AA53" s="30"/>
      <c r="AB53" s="11">
        <f t="shared" si="9"/>
        <v>5.0299401197604716</v>
      </c>
      <c r="AC53" s="30"/>
      <c r="AD53" s="11">
        <f t="shared" si="10"/>
        <v>4.0239520958083776</v>
      </c>
      <c r="AE53" s="30"/>
      <c r="AF53" s="30"/>
    </row>
    <row r="54" spans="1:32" x14ac:dyDescent="0.2">
      <c r="A54" s="9" t="s">
        <v>51</v>
      </c>
      <c r="B54" s="10">
        <v>2505</v>
      </c>
      <c r="C54" s="9">
        <f>SUMIF('2015 Factor % to units'!$B:$B,$B54,'2015 Factor % to units'!$G:$G)</f>
        <v>205.75164835164836</v>
      </c>
      <c r="D54" s="9">
        <f>SUMIF('2015 Factor % to units'!$B:$B,$B54,'2015 Factor % to units'!$X:$X)</f>
        <v>112.07142857142841</v>
      </c>
      <c r="E54" s="9">
        <f>SUMIF('2015 Factor % to units'!$B:$B,$B54,'2015 Factor % to units'!$Z:$Z)</f>
        <v>1.0096525096525093</v>
      </c>
      <c r="F54" s="9">
        <f>SUMIF('2015 Factor % to units'!$B:$B,$B54,'2015 Factor % to units'!$AB:$AB)</f>
        <v>178.70849420849439</v>
      </c>
      <c r="G54" s="9">
        <f>SUMIF('2015 Factor % to units'!$B:$B,$B54,'2015 Factor % to units'!$AD:$AD)</f>
        <v>93.89768339768365</v>
      </c>
      <c r="H54" s="9">
        <f>SUMIF('2015 Factor % to units'!$B:$B,$B54,'2015 Factor % to units'!$AF:$AF)</f>
        <v>6.0579150579150669</v>
      </c>
      <c r="I54" s="9">
        <f>SUMIF('2015 Factor % to units'!$B:$B,$B54,'2015 Factor % to units'!$AH:$AH)</f>
        <v>88.849420849420909</v>
      </c>
      <c r="J54" s="1016">
        <f t="shared" si="2"/>
        <v>686.34624294624314</v>
      </c>
      <c r="K54" s="1016">
        <f t="shared" si="0"/>
        <v>192143.58857405052</v>
      </c>
      <c r="L54" s="1016"/>
      <c r="M54" s="1017">
        <f t="shared" si="1"/>
        <v>209616.62490559192</v>
      </c>
      <c r="N54" s="1017"/>
      <c r="O54" s="1018">
        <f t="shared" si="3"/>
        <v>401760.21347964241</v>
      </c>
      <c r="P54" s="1018"/>
      <c r="Q54" s="1018"/>
      <c r="R54" s="1021">
        <f t="shared" si="4"/>
        <v>205.75164835164836</v>
      </c>
      <c r="S54" s="9"/>
      <c r="T54" s="9">
        <f t="shared" si="5"/>
        <v>112.07142857142841</v>
      </c>
      <c r="U54" s="9"/>
      <c r="V54" s="9">
        <f t="shared" si="6"/>
        <v>1.0096525096525093</v>
      </c>
      <c r="W54" s="9"/>
      <c r="X54" s="9">
        <f t="shared" si="7"/>
        <v>178.70849420849439</v>
      </c>
      <c r="Y54" s="9"/>
      <c r="Z54" s="11">
        <f t="shared" si="8"/>
        <v>93.89768339768365</v>
      </c>
      <c r="AA54" s="30"/>
      <c r="AB54" s="11">
        <f t="shared" si="9"/>
        <v>6.0579150579150669</v>
      </c>
      <c r="AC54" s="30"/>
      <c r="AD54" s="11">
        <f t="shared" si="10"/>
        <v>88.849420849420909</v>
      </c>
      <c r="AE54" s="30"/>
      <c r="AF54" s="30"/>
    </row>
    <row r="55" spans="1:32" x14ac:dyDescent="0.2">
      <c r="A55" s="9" t="s">
        <v>52</v>
      </c>
      <c r="B55" s="10">
        <v>2000</v>
      </c>
      <c r="C55" s="9">
        <f>SUMIF('2015 Factor % to units'!$B:$B,$B55,'2015 Factor % to units'!$G:$G)</f>
        <v>117.45276872964169</v>
      </c>
      <c r="D55" s="9">
        <f>SUMIF('2015 Factor % to units'!$B:$B,$B55,'2015 Factor % to units'!$X:$X)</f>
        <v>88.46875</v>
      </c>
      <c r="E55" s="9">
        <f>SUMIF('2015 Factor % to units'!$B:$B,$B55,'2015 Factor % to units'!$Z:$Z)</f>
        <v>34.456250000000004</v>
      </c>
      <c r="F55" s="9">
        <f>SUMIF('2015 Factor % to units'!$B:$B,$B55,'2015 Factor % to units'!$AB:$AB)</f>
        <v>139.6875</v>
      </c>
      <c r="G55" s="9">
        <f>SUMIF('2015 Factor % to units'!$B:$B,$B55,'2015 Factor % to units'!$AD:$AD)</f>
        <v>7.45</v>
      </c>
      <c r="H55" s="9">
        <f>SUMIF('2015 Factor % to units'!$B:$B,$B55,'2015 Factor % to units'!$AF:$AF)</f>
        <v>7.45</v>
      </c>
      <c r="I55" s="9">
        <f>SUMIF('2015 Factor % to units'!$B:$B,$B55,'2015 Factor % to units'!$AH:$AH)</f>
        <v>2.7937499999999997</v>
      </c>
      <c r="J55" s="1016">
        <f t="shared" si="2"/>
        <v>397.7590187296417</v>
      </c>
      <c r="K55" s="1016">
        <f t="shared" si="0"/>
        <v>109684.64482530393</v>
      </c>
      <c r="L55" s="1016"/>
      <c r="M55" s="1017">
        <f t="shared" si="1"/>
        <v>80808.362074400779</v>
      </c>
      <c r="N55" s="1017"/>
      <c r="O55" s="1018">
        <f t="shared" si="3"/>
        <v>190493.00689970469</v>
      </c>
      <c r="P55" s="1018"/>
      <c r="Q55" s="1018"/>
      <c r="R55" s="1021">
        <f t="shared" si="4"/>
        <v>117.45276872964169</v>
      </c>
      <c r="S55" s="9"/>
      <c r="T55" s="9">
        <f t="shared" si="5"/>
        <v>88.46875</v>
      </c>
      <c r="U55" s="9"/>
      <c r="V55" s="9">
        <f t="shared" si="6"/>
        <v>34.456250000000004</v>
      </c>
      <c r="W55" s="9"/>
      <c r="X55" s="9">
        <f t="shared" si="7"/>
        <v>139.6875</v>
      </c>
      <c r="Y55" s="9"/>
      <c r="Z55" s="11">
        <f t="shared" si="8"/>
        <v>7.45</v>
      </c>
      <c r="AA55" s="30"/>
      <c r="AB55" s="11">
        <f t="shared" si="9"/>
        <v>7.45</v>
      </c>
      <c r="AC55" s="30"/>
      <c r="AD55" s="11">
        <f t="shared" si="10"/>
        <v>2.7937499999999997</v>
      </c>
      <c r="AE55" s="30"/>
      <c r="AF55" s="30"/>
    </row>
    <row r="56" spans="1:32" x14ac:dyDescent="0.2">
      <c r="A56" s="9" t="s">
        <v>53</v>
      </c>
      <c r="B56" s="10">
        <v>2458</v>
      </c>
      <c r="C56" s="9">
        <f>SUMIF('2015 Factor % to units'!$B:$B,$B56,'2015 Factor % to units'!$G:$G)</f>
        <v>33.122676579925653</v>
      </c>
      <c r="D56" s="9">
        <f>SUMIF('2015 Factor % to units'!$B:$B,$B56,'2015 Factor % to units'!$X:$X)</f>
        <v>20.000000000000007</v>
      </c>
      <c r="E56" s="9">
        <f>SUMIF('2015 Factor % to units'!$B:$B,$B56,'2015 Factor % to units'!$Z:$Z)</f>
        <v>0</v>
      </c>
      <c r="F56" s="9">
        <f>SUMIF('2015 Factor % to units'!$B:$B,$B56,'2015 Factor % to units'!$AB:$AB)</f>
        <v>65.999999999999872</v>
      </c>
      <c r="G56" s="9">
        <f>SUMIF('2015 Factor % to units'!$B:$B,$B56,'2015 Factor % to units'!$AD:$AD)</f>
        <v>14.000000000000012</v>
      </c>
      <c r="H56" s="9">
        <f>SUMIF('2015 Factor % to units'!$B:$B,$B56,'2015 Factor % to units'!$AF:$AF)</f>
        <v>0.999999999999999</v>
      </c>
      <c r="I56" s="9">
        <f>SUMIF('2015 Factor % to units'!$B:$B,$B56,'2015 Factor % to units'!$AH:$AH)</f>
        <v>4.9999999999999947</v>
      </c>
      <c r="J56" s="1016">
        <f t="shared" si="2"/>
        <v>139.12267657992552</v>
      </c>
      <c r="K56" s="1016">
        <f t="shared" si="0"/>
        <v>30931.999778526133</v>
      </c>
      <c r="L56" s="1016"/>
      <c r="M56" s="1017">
        <f t="shared" si="1"/>
        <v>37815.653568365706</v>
      </c>
      <c r="N56" s="1017"/>
      <c r="O56" s="1018">
        <f t="shared" si="3"/>
        <v>68747.653346891835</v>
      </c>
      <c r="P56" s="1018"/>
      <c r="Q56" s="1018"/>
      <c r="R56" s="1021">
        <f t="shared" si="4"/>
        <v>33.122676579925653</v>
      </c>
      <c r="S56" s="9"/>
      <c r="T56" s="9">
        <f t="shared" si="5"/>
        <v>20.000000000000007</v>
      </c>
      <c r="U56" s="9"/>
      <c r="V56" s="9">
        <f t="shared" si="6"/>
        <v>0</v>
      </c>
      <c r="W56" s="9"/>
      <c r="X56" s="9">
        <f t="shared" si="7"/>
        <v>65.999999999999872</v>
      </c>
      <c r="Y56" s="9"/>
      <c r="Z56" s="11">
        <f t="shared" si="8"/>
        <v>14.000000000000012</v>
      </c>
      <c r="AA56" s="30"/>
      <c r="AB56" s="11">
        <f t="shared" si="9"/>
        <v>0.999999999999999</v>
      </c>
      <c r="AC56" s="30"/>
      <c r="AD56" s="11">
        <f t="shared" si="10"/>
        <v>4.9999999999999947</v>
      </c>
      <c r="AE56" s="30"/>
      <c r="AF56" s="30"/>
    </row>
    <row r="57" spans="1:32" x14ac:dyDescent="0.2">
      <c r="A57" s="9" t="s">
        <v>54</v>
      </c>
      <c r="B57" s="10">
        <v>2001</v>
      </c>
      <c r="C57" s="9">
        <f>SUMIF('2015 Factor % to units'!$B:$B,$B57,'2015 Factor % to units'!$G:$G)</f>
        <v>214.28445747800586</v>
      </c>
      <c r="D57" s="9">
        <f>SUMIF('2015 Factor % to units'!$B:$B,$B57,'2015 Factor % to units'!$X:$X)</f>
        <v>34.587896253602317</v>
      </c>
      <c r="E57" s="9">
        <f>SUMIF('2015 Factor % to units'!$B:$B,$B57,'2015 Factor % to units'!$Z:$Z)</f>
        <v>41.708933717579328</v>
      </c>
      <c r="F57" s="9">
        <f>SUMIF('2015 Factor % to units'!$B:$B,$B57,'2015 Factor % to units'!$AB:$AB)</f>
        <v>12.207492795389051</v>
      </c>
      <c r="G57" s="9">
        <f>SUMIF('2015 Factor % to units'!$B:$B,$B57,'2015 Factor % to units'!$AD:$AD)</f>
        <v>20.345821325648426</v>
      </c>
      <c r="H57" s="9">
        <f>SUMIF('2015 Factor % to units'!$B:$B,$B57,'2015 Factor % to units'!$AF:$AF)</f>
        <v>201.42363112391939</v>
      </c>
      <c r="I57" s="9">
        <f>SUMIF('2015 Factor % to units'!$B:$B,$B57,'2015 Factor % to units'!$AH:$AH)</f>
        <v>0</v>
      </c>
      <c r="J57" s="1016">
        <f t="shared" si="2"/>
        <v>524.55823269414441</v>
      </c>
      <c r="K57" s="1016">
        <f t="shared" si="0"/>
        <v>200112.05239580153</v>
      </c>
      <c r="L57" s="1016"/>
      <c r="M57" s="1017">
        <f t="shared" si="1"/>
        <v>216917.89370438931</v>
      </c>
      <c r="N57" s="1017"/>
      <c r="O57" s="1018">
        <f t="shared" si="3"/>
        <v>417029.94610019086</v>
      </c>
      <c r="P57" s="1018"/>
      <c r="Q57" s="1018"/>
      <c r="R57" s="1021">
        <f t="shared" si="4"/>
        <v>214.28445747800586</v>
      </c>
      <c r="S57" s="9"/>
      <c r="T57" s="9">
        <f t="shared" si="5"/>
        <v>34.587896253602317</v>
      </c>
      <c r="U57" s="9"/>
      <c r="V57" s="9">
        <f t="shared" si="6"/>
        <v>41.708933717579328</v>
      </c>
      <c r="W57" s="9"/>
      <c r="X57" s="9">
        <f t="shared" si="7"/>
        <v>12.207492795389051</v>
      </c>
      <c r="Y57" s="9"/>
      <c r="Z57" s="11">
        <f t="shared" si="8"/>
        <v>20.345821325648426</v>
      </c>
      <c r="AA57" s="30"/>
      <c r="AB57" s="11">
        <f t="shared" si="9"/>
        <v>201.42363112391939</v>
      </c>
      <c r="AC57" s="30"/>
      <c r="AD57" s="11">
        <f t="shared" si="10"/>
        <v>0</v>
      </c>
      <c r="AE57" s="30"/>
      <c r="AF57" s="30"/>
    </row>
    <row r="58" spans="1:32" x14ac:dyDescent="0.2">
      <c r="A58" s="9" t="s">
        <v>55</v>
      </c>
      <c r="B58" s="10">
        <v>2429</v>
      </c>
      <c r="C58" s="9">
        <f>SUMIF('2015 Factor % to units'!$B:$B,$B58,'2015 Factor % to units'!$G:$G)</f>
        <v>49.668874172185433</v>
      </c>
      <c r="D58" s="9">
        <f>SUMIF('2015 Factor % to units'!$B:$B,$B58,'2015 Factor % to units'!$X:$X)</f>
        <v>0</v>
      </c>
      <c r="E58" s="9">
        <f>SUMIF('2015 Factor % to units'!$B:$B,$B58,'2015 Factor % to units'!$Z:$Z)</f>
        <v>3.0201342281879251</v>
      </c>
      <c r="F58" s="9">
        <f>SUMIF('2015 Factor % to units'!$B:$B,$B58,'2015 Factor % to units'!$AB:$AB)</f>
        <v>30.201342281879249</v>
      </c>
      <c r="G58" s="9">
        <f>SUMIF('2015 Factor % to units'!$B:$B,$B58,'2015 Factor % to units'!$AD:$AD)</f>
        <v>87.583892617449607</v>
      </c>
      <c r="H58" s="9">
        <f>SUMIF('2015 Factor % to units'!$B:$B,$B58,'2015 Factor % to units'!$AF:$AF)</f>
        <v>6.0402684563758351</v>
      </c>
      <c r="I58" s="9">
        <f>SUMIF('2015 Factor % to units'!$B:$B,$B58,'2015 Factor % to units'!$AH:$AH)</f>
        <v>19.1275167785235</v>
      </c>
      <c r="J58" s="1016">
        <f t="shared" si="2"/>
        <v>195.64202853460154</v>
      </c>
      <c r="K58" s="1016">
        <f t="shared" si="0"/>
        <v>46383.860349764363</v>
      </c>
      <c r="L58" s="1016"/>
      <c r="M58" s="1017">
        <f t="shared" si="1"/>
        <v>76131.172281749852</v>
      </c>
      <c r="N58" s="1017"/>
      <c r="O58" s="1018">
        <f t="shared" si="3"/>
        <v>122515.03263151422</v>
      </c>
      <c r="P58" s="1018"/>
      <c r="Q58" s="1018"/>
      <c r="R58" s="1021">
        <f t="shared" si="4"/>
        <v>49.668874172185433</v>
      </c>
      <c r="S58" s="9"/>
      <c r="T58" s="9">
        <f t="shared" si="5"/>
        <v>0</v>
      </c>
      <c r="U58" s="9"/>
      <c r="V58" s="9">
        <f t="shared" si="6"/>
        <v>3.0201342281879251</v>
      </c>
      <c r="W58" s="9"/>
      <c r="X58" s="9">
        <f t="shared" si="7"/>
        <v>30.201342281879249</v>
      </c>
      <c r="Y58" s="9"/>
      <c r="Z58" s="11">
        <f t="shared" si="8"/>
        <v>87.583892617449607</v>
      </c>
      <c r="AA58" s="30"/>
      <c r="AB58" s="11">
        <f t="shared" si="9"/>
        <v>6.0402684563758351</v>
      </c>
      <c r="AC58" s="30"/>
      <c r="AD58" s="11">
        <f t="shared" si="10"/>
        <v>19.1275167785235</v>
      </c>
      <c r="AE58" s="30"/>
      <c r="AF58" s="30"/>
    </row>
    <row r="59" spans="1:32" x14ac:dyDescent="0.2">
      <c r="A59" s="9" t="s">
        <v>56</v>
      </c>
      <c r="B59" s="10">
        <v>2444</v>
      </c>
      <c r="C59" s="9">
        <f>SUMIF('2015 Factor % to units'!$B:$B,$B59,'2015 Factor % to units'!$G:$G)</f>
        <v>56.270531400966178</v>
      </c>
      <c r="D59" s="9">
        <f>SUMIF('2015 Factor % to units'!$B:$B,$B59,'2015 Factor % to units'!$X:$X)</f>
        <v>25.120772946859823</v>
      </c>
      <c r="E59" s="9">
        <f>SUMIF('2015 Factor % to units'!$B:$B,$B59,'2015 Factor % to units'!$Z:$Z)</f>
        <v>52.251207729468589</v>
      </c>
      <c r="F59" s="9">
        <f>SUMIF('2015 Factor % to units'!$B:$B,$B59,'2015 Factor % to units'!$AB:$AB)</f>
        <v>6.0289855072463752</v>
      </c>
      <c r="G59" s="9">
        <f>SUMIF('2015 Factor % to units'!$B:$B,$B59,'2015 Factor % to units'!$AD:$AD)</f>
        <v>49.236714975845487</v>
      </c>
      <c r="H59" s="9">
        <f>SUMIF('2015 Factor % to units'!$B:$B,$B59,'2015 Factor % to units'!$AF:$AF)</f>
        <v>14.067632850241548</v>
      </c>
      <c r="I59" s="9">
        <f>SUMIF('2015 Factor % to units'!$B:$B,$B59,'2015 Factor % to units'!$AH:$AH)</f>
        <v>16.077294685990346</v>
      </c>
      <c r="J59" s="1016">
        <f t="shared" si="2"/>
        <v>219.05314009661836</v>
      </c>
      <c r="K59" s="1016">
        <f t="shared" si="0"/>
        <v>52548.895335563502</v>
      </c>
      <c r="L59" s="1016"/>
      <c r="M59" s="1017">
        <f t="shared" si="1"/>
        <v>68775.031315313667</v>
      </c>
      <c r="N59" s="1017"/>
      <c r="O59" s="1018">
        <f t="shared" si="3"/>
        <v>121323.92665087717</v>
      </c>
      <c r="P59" s="1018"/>
      <c r="Q59" s="1018"/>
      <c r="R59" s="1021">
        <f t="shared" si="4"/>
        <v>56.270531400966178</v>
      </c>
      <c r="S59" s="9"/>
      <c r="T59" s="9">
        <f t="shared" si="5"/>
        <v>25.120772946859823</v>
      </c>
      <c r="U59" s="9"/>
      <c r="V59" s="9">
        <f t="shared" si="6"/>
        <v>52.251207729468589</v>
      </c>
      <c r="W59" s="9"/>
      <c r="X59" s="9">
        <f t="shared" si="7"/>
        <v>6.0289855072463752</v>
      </c>
      <c r="Y59" s="9"/>
      <c r="Z59" s="11">
        <f t="shared" si="8"/>
        <v>49.236714975845487</v>
      </c>
      <c r="AA59" s="30"/>
      <c r="AB59" s="11">
        <f t="shared" si="9"/>
        <v>14.067632850241548</v>
      </c>
      <c r="AC59" s="30"/>
      <c r="AD59" s="11">
        <f t="shared" si="10"/>
        <v>16.077294685990346</v>
      </c>
      <c r="AE59" s="30"/>
      <c r="AF59" s="30"/>
    </row>
    <row r="60" spans="1:32" x14ac:dyDescent="0.2">
      <c r="A60" s="9" t="s">
        <v>57</v>
      </c>
      <c r="B60" s="10">
        <v>5209</v>
      </c>
      <c r="C60" s="9">
        <f>SUMIF('2015 Factor % to units'!$B:$B,$B60,'2015 Factor % to units'!$G:$G)</f>
        <v>111.24812030075188</v>
      </c>
      <c r="D60" s="9">
        <f>SUMIF('2015 Factor % to units'!$B:$B,$B60,'2015 Factor % to units'!$X:$X)</f>
        <v>41.301470588235276</v>
      </c>
      <c r="E60" s="9">
        <f>SUMIF('2015 Factor % to units'!$B:$B,$B60,'2015 Factor % to units'!$Z:$Z)</f>
        <v>63.46323529411778</v>
      </c>
      <c r="F60" s="9">
        <f>SUMIF('2015 Factor % to units'!$B:$B,$B60,'2015 Factor % to units'!$AB:$AB)</f>
        <v>10.073529411764694</v>
      </c>
      <c r="G60" s="9">
        <f>SUMIF('2015 Factor % to units'!$B:$B,$B60,'2015 Factor % to units'!$AD:$AD)</f>
        <v>69.507352941176393</v>
      </c>
      <c r="H60" s="9">
        <f>SUMIF('2015 Factor % to units'!$B:$B,$B60,'2015 Factor % to units'!$AF:$AF)</f>
        <v>17.125</v>
      </c>
      <c r="I60" s="9">
        <f>SUMIF('2015 Factor % to units'!$B:$B,$B60,'2015 Factor % to units'!$AH:$AH)</f>
        <v>21.154411764705888</v>
      </c>
      <c r="J60" s="1016">
        <f t="shared" si="2"/>
        <v>333.87312030075196</v>
      </c>
      <c r="K60" s="1016">
        <f t="shared" si="0"/>
        <v>103890.3611609044</v>
      </c>
      <c r="L60" s="1016"/>
      <c r="M60" s="1017">
        <f t="shared" si="1"/>
        <v>91891.508174845396</v>
      </c>
      <c r="N60" s="1017"/>
      <c r="O60" s="1018">
        <f t="shared" si="3"/>
        <v>195781.8693357498</v>
      </c>
      <c r="P60" s="1018"/>
      <c r="Q60" s="1018"/>
      <c r="R60" s="1021">
        <f t="shared" si="4"/>
        <v>111.24812030075188</v>
      </c>
      <c r="S60" s="9"/>
      <c r="T60" s="9">
        <f t="shared" si="5"/>
        <v>41.301470588235276</v>
      </c>
      <c r="U60" s="9"/>
      <c r="V60" s="9">
        <f t="shared" si="6"/>
        <v>63.46323529411778</v>
      </c>
      <c r="W60" s="9"/>
      <c r="X60" s="9">
        <f t="shared" si="7"/>
        <v>10.073529411764694</v>
      </c>
      <c r="Y60" s="9"/>
      <c r="Z60" s="11">
        <f t="shared" si="8"/>
        <v>69.507352941176393</v>
      </c>
      <c r="AA60" s="30"/>
      <c r="AB60" s="11">
        <f t="shared" si="9"/>
        <v>17.125</v>
      </c>
      <c r="AC60" s="30"/>
      <c r="AD60" s="11">
        <f t="shared" si="10"/>
        <v>21.154411764705888</v>
      </c>
      <c r="AE60" s="30"/>
      <c r="AF60" s="30"/>
    </row>
    <row r="61" spans="1:32" x14ac:dyDescent="0.2">
      <c r="A61" s="9" t="s">
        <v>58</v>
      </c>
      <c r="B61" s="10">
        <v>2469</v>
      </c>
      <c r="C61" s="9">
        <f>SUMIF('2015 Factor % to units'!$B:$B,$B61,'2015 Factor % to units'!$G:$G)</f>
        <v>65.36385542168675</v>
      </c>
      <c r="D61" s="9">
        <f>SUMIF('2015 Factor % to units'!$B:$B,$B61,'2015 Factor % to units'!$X:$X)</f>
        <v>17.125000000000014</v>
      </c>
      <c r="E61" s="9">
        <f>SUMIF('2015 Factor % to units'!$B:$B,$B61,'2015 Factor % to units'!$Z:$Z)</f>
        <v>9.0661764705882497</v>
      </c>
      <c r="F61" s="9">
        <f>SUMIF('2015 Factor % to units'!$B:$B,$B61,'2015 Factor % to units'!$AB:$AB)</f>
        <v>24.17647058823529</v>
      </c>
      <c r="G61" s="9">
        <f>SUMIF('2015 Factor % to units'!$B:$B,$B61,'2015 Factor % to units'!$AD:$AD)</f>
        <v>7.0514705882352775</v>
      </c>
      <c r="H61" s="9">
        <f>SUMIF('2015 Factor % to units'!$B:$B,$B61,'2015 Factor % to units'!$AF:$AF)</f>
        <v>7.0514705882352775</v>
      </c>
      <c r="I61" s="9">
        <f>SUMIF('2015 Factor % to units'!$B:$B,$B61,'2015 Factor % to units'!$AH:$AH)</f>
        <v>1.0073529411764695</v>
      </c>
      <c r="J61" s="1016">
        <f t="shared" si="2"/>
        <v>130.84179659815732</v>
      </c>
      <c r="K61" s="1016">
        <f t="shared" si="0"/>
        <v>61040.802561607685</v>
      </c>
      <c r="L61" s="1016"/>
      <c r="M61" s="1017">
        <f t="shared" si="1"/>
        <v>23537.937455972944</v>
      </c>
      <c r="N61" s="1017"/>
      <c r="O61" s="1018">
        <f t="shared" si="3"/>
        <v>84578.740017580625</v>
      </c>
      <c r="P61" s="1018"/>
      <c r="Q61" s="1018"/>
      <c r="R61" s="1021">
        <f t="shared" si="4"/>
        <v>65.36385542168675</v>
      </c>
      <c r="S61" s="9"/>
      <c r="T61" s="9">
        <f t="shared" si="5"/>
        <v>17.125000000000014</v>
      </c>
      <c r="U61" s="9"/>
      <c r="V61" s="9">
        <f t="shared" si="6"/>
        <v>9.0661764705882497</v>
      </c>
      <c r="W61" s="9"/>
      <c r="X61" s="9">
        <f t="shared" si="7"/>
        <v>24.17647058823529</v>
      </c>
      <c r="Y61" s="9"/>
      <c r="Z61" s="11">
        <f t="shared" si="8"/>
        <v>7.0514705882352775</v>
      </c>
      <c r="AA61" s="30"/>
      <c r="AB61" s="11">
        <f t="shared" si="9"/>
        <v>7.0514705882352775</v>
      </c>
      <c r="AC61" s="30"/>
      <c r="AD61" s="11">
        <f t="shared" si="10"/>
        <v>1.0073529411764695</v>
      </c>
      <c r="AE61" s="30"/>
      <c r="AF61" s="30"/>
    </row>
    <row r="62" spans="1:32" x14ac:dyDescent="0.2">
      <c r="A62" s="22" t="s">
        <v>451</v>
      </c>
      <c r="B62" s="10">
        <v>2430</v>
      </c>
      <c r="C62" s="9">
        <f>SUMIF('2015 Factor % to units'!$B:$B,$B62,'2015 Factor % to units'!$G:$G)</f>
        <v>71.404958677685954</v>
      </c>
      <c r="D62" s="9">
        <f>SUMIF('2015 Factor % to units'!$B:$B,$B62,'2015 Factor % to units'!$X:$X)</f>
        <v>3.9999999999999956</v>
      </c>
      <c r="E62" s="9">
        <f>SUMIF('2015 Factor % to units'!$B:$B,$B62,'2015 Factor % to units'!$Z:$Z)</f>
        <v>0</v>
      </c>
      <c r="F62" s="9">
        <f>SUMIF('2015 Factor % to units'!$B:$B,$B62,'2015 Factor % to units'!$AB:$AB)</f>
        <v>42.999999999999957</v>
      </c>
      <c r="G62" s="9">
        <f>SUMIF('2015 Factor % to units'!$B:$B,$B62,'2015 Factor % to units'!$AD:$AD)</f>
        <v>5.0000000000000036</v>
      </c>
      <c r="H62" s="9">
        <f>SUMIF('2015 Factor % to units'!$B:$B,$B62,'2015 Factor % to units'!$AF:$AF)</f>
        <v>0</v>
      </c>
      <c r="I62" s="9">
        <f>SUMIF('2015 Factor % to units'!$B:$B,$B62,'2015 Factor % to units'!$AH:$AH)</f>
        <v>63</v>
      </c>
      <c r="J62" s="1016">
        <f t="shared" si="2"/>
        <v>186.4049586776859</v>
      </c>
      <c r="K62" s="1016">
        <f t="shared" si="0"/>
        <v>66682.357649274461</v>
      </c>
      <c r="L62" s="1016"/>
      <c r="M62" s="1017">
        <f t="shared" si="1"/>
        <v>77152.161955246702</v>
      </c>
      <c r="N62" s="1017"/>
      <c r="O62" s="1018">
        <f t="shared" si="3"/>
        <v>143834.51960452116</v>
      </c>
      <c r="P62" s="1018"/>
      <c r="Q62" s="1018"/>
      <c r="R62" s="1021">
        <f t="shared" si="4"/>
        <v>71.404958677685954</v>
      </c>
      <c r="S62" s="9"/>
      <c r="T62" s="9">
        <f t="shared" si="5"/>
        <v>3.9999999999999956</v>
      </c>
      <c r="U62" s="9"/>
      <c r="V62" s="9">
        <f t="shared" si="6"/>
        <v>0</v>
      </c>
      <c r="W62" s="9"/>
      <c r="X62" s="9">
        <f t="shared" si="7"/>
        <v>42.999999999999957</v>
      </c>
      <c r="Y62" s="9"/>
      <c r="Z62" s="11">
        <f t="shared" si="8"/>
        <v>5.0000000000000036</v>
      </c>
      <c r="AA62" s="30"/>
      <c r="AB62" s="11">
        <f t="shared" si="9"/>
        <v>0</v>
      </c>
      <c r="AC62" s="30"/>
      <c r="AD62" s="11">
        <f t="shared" si="10"/>
        <v>63</v>
      </c>
      <c r="AE62" s="30"/>
      <c r="AF62" s="30"/>
    </row>
    <row r="63" spans="1:32" x14ac:dyDescent="0.2">
      <c r="A63" s="9" t="s">
        <v>59</v>
      </c>
      <c r="B63" s="10">
        <v>2466</v>
      </c>
      <c r="C63" s="9">
        <f>SUMIF('2015 Factor % to units'!$B:$B,$B63,'2015 Factor % to units'!$G:$G)</f>
        <v>60.788571428571423</v>
      </c>
      <c r="D63" s="9">
        <f>SUMIF('2015 Factor % to units'!$B:$B,$B63,'2015 Factor % to units'!$X:$X)</f>
        <v>53.814634146341447</v>
      </c>
      <c r="E63" s="9">
        <f>SUMIF('2015 Factor % to units'!$B:$B,$B63,'2015 Factor % to units'!$Z:$Z)</f>
        <v>37.478048780487725</v>
      </c>
      <c r="F63" s="9">
        <f>SUMIF('2015 Factor % to units'!$B:$B,$B63,'2015 Factor % to units'!$AB:$AB)</f>
        <v>11.531707317073177</v>
      </c>
      <c r="G63" s="9">
        <f>SUMIF('2015 Factor % to units'!$B:$B,$B63,'2015 Factor % to units'!$AD:$AD)</f>
        <v>12.492682926829277</v>
      </c>
      <c r="H63" s="9">
        <f>SUMIF('2015 Factor % to units'!$B:$B,$B63,'2015 Factor % to units'!$AF:$AF)</f>
        <v>8.6487804878048689</v>
      </c>
      <c r="I63" s="9">
        <f>SUMIF('2015 Factor % to units'!$B:$B,$B63,'2015 Factor % to units'!$AH:$AH)</f>
        <v>0</v>
      </c>
      <c r="J63" s="1016">
        <f t="shared" si="2"/>
        <v>184.75442508710788</v>
      </c>
      <c r="K63" s="1016">
        <f t="shared" si="0"/>
        <v>56768.119974491259</v>
      </c>
      <c r="L63" s="1016"/>
      <c r="M63" s="1017">
        <f t="shared" si="1"/>
        <v>33162.170156477558</v>
      </c>
      <c r="N63" s="1017"/>
      <c r="O63" s="1018">
        <f t="shared" si="3"/>
        <v>89930.290130968817</v>
      </c>
      <c r="P63" s="1018"/>
      <c r="Q63" s="1018"/>
      <c r="R63" s="1021">
        <f t="shared" si="4"/>
        <v>60.788571428571423</v>
      </c>
      <c r="S63" s="9"/>
      <c r="T63" s="9">
        <f t="shared" si="5"/>
        <v>53.814634146341447</v>
      </c>
      <c r="U63" s="9"/>
      <c r="V63" s="9">
        <f t="shared" si="6"/>
        <v>37.478048780487725</v>
      </c>
      <c r="W63" s="9"/>
      <c r="X63" s="9">
        <f t="shared" si="7"/>
        <v>11.531707317073177</v>
      </c>
      <c r="Y63" s="9"/>
      <c r="Z63" s="11">
        <f t="shared" si="8"/>
        <v>12.492682926829277</v>
      </c>
      <c r="AA63" s="30"/>
      <c r="AB63" s="11">
        <f t="shared" si="9"/>
        <v>8.6487804878048689</v>
      </c>
      <c r="AC63" s="30"/>
      <c r="AD63" s="11">
        <f t="shared" si="10"/>
        <v>0</v>
      </c>
      <c r="AE63" s="30"/>
      <c r="AF63" s="30"/>
    </row>
    <row r="64" spans="1:32" x14ac:dyDescent="0.2">
      <c r="A64" s="9" t="s">
        <v>60</v>
      </c>
      <c r="B64" s="10">
        <v>3543</v>
      </c>
      <c r="C64" s="9">
        <f>SUMIF('2015 Factor % to units'!$B:$B,$B64,'2015 Factor % to units'!$G:$G)</f>
        <v>59.179661016949154</v>
      </c>
      <c r="D64" s="9">
        <f>SUMIF('2015 Factor % to units'!$B:$B,$B64,'2015 Factor % to units'!$X:$X)</f>
        <v>41.136666666666763</v>
      </c>
      <c r="E64" s="9">
        <f>SUMIF('2015 Factor % to units'!$B:$B,$B64,'2015 Factor % to units'!$Z:$Z)</f>
        <v>14.046666666666676</v>
      </c>
      <c r="F64" s="9">
        <f>SUMIF('2015 Factor % to units'!$B:$B,$B64,'2015 Factor % to units'!$AB:$AB)</f>
        <v>37.123333333333235</v>
      </c>
      <c r="G64" s="9">
        <f>SUMIF('2015 Factor % to units'!$B:$B,$B64,'2015 Factor % to units'!$AD:$AD)</f>
        <v>14.046666666666676</v>
      </c>
      <c r="H64" s="9">
        <f>SUMIF('2015 Factor % to units'!$B:$B,$B64,'2015 Factor % to units'!$AF:$AF)</f>
        <v>41.136666666666763</v>
      </c>
      <c r="I64" s="9">
        <f>SUMIF('2015 Factor % to units'!$B:$B,$B64,'2015 Factor % to units'!$AH:$AH)</f>
        <v>2.0066666666666677</v>
      </c>
      <c r="J64" s="1016">
        <f t="shared" si="2"/>
        <v>208.67632768361597</v>
      </c>
      <c r="K64" s="1016">
        <f t="shared" si="0"/>
        <v>55265.620127418813</v>
      </c>
      <c r="L64" s="1016"/>
      <c r="M64" s="1017">
        <f t="shared" si="1"/>
        <v>68329.361130959151</v>
      </c>
      <c r="N64" s="1017"/>
      <c r="O64" s="1018">
        <f t="shared" si="3"/>
        <v>123594.98125837796</v>
      </c>
      <c r="P64" s="1018"/>
      <c r="Q64" s="1018"/>
      <c r="R64" s="1021">
        <f t="shared" si="4"/>
        <v>59.179661016949154</v>
      </c>
      <c r="S64" s="9"/>
      <c r="T64" s="9">
        <f t="shared" si="5"/>
        <v>41.136666666666763</v>
      </c>
      <c r="U64" s="9"/>
      <c r="V64" s="9">
        <f t="shared" si="6"/>
        <v>14.046666666666676</v>
      </c>
      <c r="W64" s="9"/>
      <c r="X64" s="9">
        <f t="shared" si="7"/>
        <v>37.123333333333235</v>
      </c>
      <c r="Y64" s="9"/>
      <c r="Z64" s="11">
        <f t="shared" si="8"/>
        <v>14.046666666666676</v>
      </c>
      <c r="AA64" s="30"/>
      <c r="AB64" s="11">
        <f t="shared" si="9"/>
        <v>41.136666666666763</v>
      </c>
      <c r="AC64" s="30"/>
      <c r="AD64" s="11">
        <f t="shared" si="10"/>
        <v>2.0066666666666677</v>
      </c>
      <c r="AE64" s="30"/>
      <c r="AF64" s="30"/>
    </row>
    <row r="65" spans="1:32" x14ac:dyDescent="0.2">
      <c r="A65" s="9" t="s">
        <v>62</v>
      </c>
      <c r="B65" s="10">
        <v>3531</v>
      </c>
      <c r="C65" s="9">
        <f>SUMIF('2015 Factor % to units'!$B:$B,$B65,'2015 Factor % to units'!$G:$G)</f>
        <v>106.6057142857143</v>
      </c>
      <c r="D65" s="9">
        <f>SUMIF('2015 Factor % to units'!$B:$B,$B65,'2015 Factor % to units'!$X:$X)</f>
        <v>21.426086956521736</v>
      </c>
      <c r="E65" s="9">
        <f>SUMIF('2015 Factor % to units'!$B:$B,$B65,'2015 Factor % to units'!$Z:$Z)</f>
        <v>2.0405797101449266</v>
      </c>
      <c r="F65" s="9">
        <f>SUMIF('2015 Factor % to units'!$B:$B,$B65,'2015 Factor % to units'!$AB:$AB)</f>
        <v>56.115942028985344</v>
      </c>
      <c r="G65" s="9">
        <f>SUMIF('2015 Factor % to units'!$B:$B,$B65,'2015 Factor % to units'!$AD:$AD)</f>
        <v>45.913043478260995</v>
      </c>
      <c r="H65" s="9">
        <f>SUMIF('2015 Factor % to units'!$B:$B,$B65,'2015 Factor % to units'!$AF:$AF)</f>
        <v>15.304347826086952</v>
      </c>
      <c r="I65" s="9">
        <f>SUMIF('2015 Factor % to units'!$B:$B,$B65,'2015 Factor % to units'!$AH:$AH)</f>
        <v>52.034782608695743</v>
      </c>
      <c r="J65" s="1016">
        <f t="shared" si="2"/>
        <v>299.44049689440999</v>
      </c>
      <c r="K65" s="1016">
        <f t="shared" si="0"/>
        <v>99554.995886831093</v>
      </c>
      <c r="L65" s="1016"/>
      <c r="M65" s="1017">
        <f t="shared" si="1"/>
        <v>107589.76482585275</v>
      </c>
      <c r="N65" s="1017"/>
      <c r="O65" s="1018">
        <f t="shared" si="3"/>
        <v>207144.76071268384</v>
      </c>
      <c r="P65" s="1018"/>
      <c r="Q65" s="1018"/>
      <c r="R65" s="1021">
        <f t="shared" si="4"/>
        <v>106.6057142857143</v>
      </c>
      <c r="S65" s="9"/>
      <c r="T65" s="9">
        <f t="shared" si="5"/>
        <v>21.426086956521736</v>
      </c>
      <c r="U65" s="9"/>
      <c r="V65" s="9">
        <f t="shared" si="6"/>
        <v>2.0405797101449266</v>
      </c>
      <c r="W65" s="9"/>
      <c r="X65" s="9">
        <f t="shared" si="7"/>
        <v>56.115942028985344</v>
      </c>
      <c r="Y65" s="9"/>
      <c r="Z65" s="11">
        <f t="shared" si="8"/>
        <v>45.913043478260995</v>
      </c>
      <c r="AA65" s="30"/>
      <c r="AB65" s="11">
        <f t="shared" si="9"/>
        <v>15.304347826086952</v>
      </c>
      <c r="AC65" s="30"/>
      <c r="AD65" s="11">
        <f t="shared" si="10"/>
        <v>52.034782608695743</v>
      </c>
      <c r="AE65" s="30"/>
      <c r="AF65" s="30"/>
    </row>
    <row r="66" spans="1:32" x14ac:dyDescent="0.2">
      <c r="A66" s="9" t="s">
        <v>103</v>
      </c>
      <c r="B66" s="10">
        <v>3526</v>
      </c>
      <c r="C66" s="9">
        <f>SUMIF('2015 Factor % to units'!$B:$B,$B66,'2015 Factor % to units'!$G:$G)</f>
        <v>30.639534883720927</v>
      </c>
      <c r="D66" s="9">
        <f>SUMIF('2015 Factor % to units'!$B:$B,$B66,'2015 Factor % to units'!$X:$X)</f>
        <v>1.0240963855421654</v>
      </c>
      <c r="E66" s="9">
        <f>SUMIF('2015 Factor % to units'!$B:$B,$B66,'2015 Factor % to units'!$Z:$Z)</f>
        <v>6.1445783132530094</v>
      </c>
      <c r="F66" s="9">
        <f>SUMIF('2015 Factor % to units'!$B:$B,$B66,'2015 Factor % to units'!$AB:$AB)</f>
        <v>20.481927710843394</v>
      </c>
      <c r="G66" s="9">
        <f>SUMIF('2015 Factor % to units'!$B:$B,$B66,'2015 Factor % to units'!$AD:$AD)</f>
        <v>45.060240963855435</v>
      </c>
      <c r="H66" s="9">
        <f>SUMIF('2015 Factor % to units'!$B:$B,$B66,'2015 Factor % to units'!$AF:$AF)</f>
        <v>0</v>
      </c>
      <c r="I66" s="9">
        <f>SUMIF('2015 Factor % to units'!$B:$B,$B66,'2015 Factor % to units'!$AH:$AH)</f>
        <v>12.289156626506019</v>
      </c>
      <c r="J66" s="1016">
        <f t="shared" si="2"/>
        <v>115.63953488372094</v>
      </c>
      <c r="K66" s="1016">
        <f t="shared" si="0"/>
        <v>28613.088798862002</v>
      </c>
      <c r="L66" s="1016"/>
      <c r="M66" s="1017">
        <f t="shared" si="1"/>
        <v>41488.205505004924</v>
      </c>
      <c r="N66" s="1017"/>
      <c r="O66" s="1018">
        <f t="shared" si="3"/>
        <v>70101.294303866918</v>
      </c>
      <c r="P66" s="1018"/>
      <c r="Q66" s="1018"/>
      <c r="R66" s="1021">
        <f t="shared" si="4"/>
        <v>30.639534883720927</v>
      </c>
      <c r="S66" s="9"/>
      <c r="T66" s="9">
        <f t="shared" si="5"/>
        <v>1.0240963855421654</v>
      </c>
      <c r="U66" s="9"/>
      <c r="V66" s="9">
        <f t="shared" si="6"/>
        <v>6.1445783132530094</v>
      </c>
      <c r="W66" s="9"/>
      <c r="X66" s="9">
        <f t="shared" si="7"/>
        <v>20.481927710843394</v>
      </c>
      <c r="Y66" s="9"/>
      <c r="Z66" s="11">
        <f t="shared" si="8"/>
        <v>45.060240963855435</v>
      </c>
      <c r="AA66" s="30"/>
      <c r="AB66" s="11">
        <f t="shared" si="9"/>
        <v>0</v>
      </c>
      <c r="AC66" s="30"/>
      <c r="AD66" s="11">
        <f t="shared" si="10"/>
        <v>12.289156626506019</v>
      </c>
      <c r="AE66" s="30"/>
      <c r="AF66" s="30"/>
    </row>
    <row r="67" spans="1:32" x14ac:dyDescent="0.2">
      <c r="A67" s="9" t="s">
        <v>104</v>
      </c>
      <c r="B67" s="10">
        <v>3535</v>
      </c>
      <c r="C67" s="9">
        <f>SUMIF('2015 Factor % to units'!$B:$B,$B67,'2015 Factor % to units'!$G:$G)</f>
        <v>150.96677740863788</v>
      </c>
      <c r="D67" s="9">
        <f>SUMIF('2015 Factor % to units'!$B:$B,$B67,'2015 Factor % to units'!$X:$X)</f>
        <v>1.0067796610169504</v>
      </c>
      <c r="E67" s="9">
        <f>SUMIF('2015 Factor % to units'!$B:$B,$B67,'2015 Factor % to units'!$Z:$Z)</f>
        <v>24.16271186440677</v>
      </c>
      <c r="F67" s="9">
        <f>SUMIF('2015 Factor % to units'!$B:$B,$B67,'2015 Factor % to units'!$AB:$AB)</f>
        <v>56.379661016949072</v>
      </c>
      <c r="G67" s="9">
        <f>SUMIF('2015 Factor % to units'!$B:$B,$B67,'2015 Factor % to units'!$AD:$AD)</f>
        <v>170.14576271186431</v>
      </c>
      <c r="H67" s="9">
        <f>SUMIF('2015 Factor % to units'!$B:$B,$B67,'2015 Factor % to units'!$AF:$AF)</f>
        <v>2.0135593220338976</v>
      </c>
      <c r="I67" s="9">
        <f>SUMIF('2015 Factor % to units'!$B:$B,$B67,'2015 Factor % to units'!$AH:$AH)</f>
        <v>32.216949152542242</v>
      </c>
      <c r="J67" s="1016">
        <f t="shared" si="2"/>
        <v>436.89220113745114</v>
      </c>
      <c r="K67" s="1016">
        <f t="shared" si="0"/>
        <v>140982.09467162791</v>
      </c>
      <c r="L67" s="1016"/>
      <c r="M67" s="1017">
        <f t="shared" si="1"/>
        <v>137726.95131961835</v>
      </c>
      <c r="N67" s="1017"/>
      <c r="O67" s="1018">
        <f t="shared" si="3"/>
        <v>278709.04599124624</v>
      </c>
      <c r="P67" s="1018"/>
      <c r="Q67" s="1018"/>
      <c r="R67" s="1021">
        <f t="shared" si="4"/>
        <v>150.96677740863788</v>
      </c>
      <c r="S67" s="9"/>
      <c r="T67" s="9">
        <f t="shared" si="5"/>
        <v>1.0067796610169504</v>
      </c>
      <c r="U67" s="9"/>
      <c r="V67" s="9">
        <f t="shared" si="6"/>
        <v>24.16271186440677</v>
      </c>
      <c r="W67" s="9"/>
      <c r="X67" s="9">
        <f t="shared" si="7"/>
        <v>56.379661016949072</v>
      </c>
      <c r="Y67" s="9"/>
      <c r="Z67" s="11">
        <f t="shared" si="8"/>
        <v>170.14576271186431</v>
      </c>
      <c r="AA67" s="30"/>
      <c r="AB67" s="11">
        <f t="shared" si="9"/>
        <v>2.0135593220338976</v>
      </c>
      <c r="AC67" s="30"/>
      <c r="AD67" s="11">
        <f t="shared" si="10"/>
        <v>32.216949152542242</v>
      </c>
      <c r="AE67" s="30"/>
      <c r="AF67" s="30"/>
    </row>
    <row r="68" spans="1:32" x14ac:dyDescent="0.2">
      <c r="A68" s="12" t="s">
        <v>64</v>
      </c>
      <c r="B68" s="10">
        <v>2008</v>
      </c>
      <c r="C68" s="9">
        <f>SUMIF('2015 Factor % to units'!$B:$B,$B68,'2015 Factor % to units'!$G:$G)</f>
        <v>76</v>
      </c>
      <c r="D68" s="9">
        <f>SUMIF('2015 Factor % to units'!$B:$B,$B68,'2015 Factor % to units'!$X:$X)</f>
        <v>17.074889867841414</v>
      </c>
      <c r="E68" s="9">
        <f>SUMIF('2015 Factor % to units'!$B:$B,$B68,'2015 Factor % to units'!$Z:$Z)</f>
        <v>26.114537444933987</v>
      </c>
      <c r="F68" s="9">
        <f>SUMIF('2015 Factor % to units'!$B:$B,$B68,'2015 Factor % to units'!$AB:$AB)</f>
        <v>29.127753303964827</v>
      </c>
      <c r="G68" s="9">
        <f>SUMIF('2015 Factor % to units'!$B:$B,$B68,'2015 Factor % to units'!$AD:$AD)</f>
        <v>57.251101321585878</v>
      </c>
      <c r="H68" s="9">
        <f>SUMIF('2015 Factor % to units'!$B:$B,$B68,'2015 Factor % to units'!$AF:$AF)</f>
        <v>26.114537444933987</v>
      </c>
      <c r="I68" s="9">
        <f>SUMIF('2015 Factor % to units'!$B:$B,$B68,'2015 Factor % to units'!$AH:$AH)</f>
        <v>10.044052863436136</v>
      </c>
      <c r="J68" s="1016">
        <f t="shared" si="2"/>
        <v>241.72687224669625</v>
      </c>
      <c r="K68" s="1016">
        <f t="shared" si="0"/>
        <v>70973.49084985278</v>
      </c>
      <c r="L68" s="1016"/>
      <c r="M68" s="1017">
        <f t="shared" si="1"/>
        <v>79252.021011486228</v>
      </c>
      <c r="N68" s="1017"/>
      <c r="O68" s="1018">
        <f t="shared" si="3"/>
        <v>150225.51186133901</v>
      </c>
      <c r="P68" s="1018"/>
      <c r="Q68" s="1018"/>
      <c r="R68" s="1021">
        <f t="shared" si="4"/>
        <v>76</v>
      </c>
      <c r="S68" s="9"/>
      <c r="T68" s="9">
        <f t="shared" si="5"/>
        <v>17.074889867841414</v>
      </c>
      <c r="U68" s="9"/>
      <c r="V68" s="9">
        <f t="shared" si="6"/>
        <v>26.114537444933987</v>
      </c>
      <c r="W68" s="9"/>
      <c r="X68" s="9">
        <f t="shared" si="7"/>
        <v>29.127753303964827</v>
      </c>
      <c r="Y68" s="9"/>
      <c r="Z68" s="11">
        <f t="shared" si="8"/>
        <v>57.251101321585878</v>
      </c>
      <c r="AA68" s="30"/>
      <c r="AB68" s="11">
        <f t="shared" si="9"/>
        <v>26.114537444933987</v>
      </c>
      <c r="AC68" s="30"/>
      <c r="AD68" s="11">
        <f t="shared" si="10"/>
        <v>10.044052863436136</v>
      </c>
      <c r="AE68" s="30"/>
      <c r="AF68" s="30"/>
    </row>
    <row r="69" spans="1:32" x14ac:dyDescent="0.2">
      <c r="A69" s="9" t="s">
        <v>105</v>
      </c>
      <c r="B69" s="10">
        <v>3542</v>
      </c>
      <c r="C69" s="9">
        <f>SUMIF('2015 Factor % to units'!$B:$B,$B69,'2015 Factor % to units'!$G:$G)</f>
        <v>69.417827298050142</v>
      </c>
      <c r="D69" s="9">
        <f>SUMIF('2015 Factor % to units'!$B:$B,$B69,'2015 Factor % to units'!$X:$X)</f>
        <v>12.034285714285719</v>
      </c>
      <c r="E69" s="9">
        <f>SUMIF('2015 Factor % to units'!$B:$B,$B69,'2015 Factor % to units'!$Z:$Z)</f>
        <v>73.208571428571574</v>
      </c>
      <c r="F69" s="9">
        <f>SUMIF('2015 Factor % to units'!$B:$B,$B69,'2015 Factor % to units'!$AB:$AB)</f>
        <v>83.2371428571428</v>
      </c>
      <c r="G69" s="9">
        <f>SUMIF('2015 Factor % to units'!$B:$B,$B69,'2015 Factor % to units'!$AD:$AD)</f>
        <v>46.131428571428422</v>
      </c>
      <c r="H69" s="9">
        <f>SUMIF('2015 Factor % to units'!$B:$B,$B69,'2015 Factor % to units'!$AF:$AF)</f>
        <v>28.080000000000002</v>
      </c>
      <c r="I69" s="9">
        <f>SUMIF('2015 Factor % to units'!$B:$B,$B69,'2015 Factor % to units'!$AH:$AH)</f>
        <v>26.074285714285718</v>
      </c>
      <c r="J69" s="1016">
        <f t="shared" si="2"/>
        <v>338.18354158376439</v>
      </c>
      <c r="K69" s="1016">
        <f>C$2*C69</f>
        <v>64826.6517178266</v>
      </c>
      <c r="L69" s="1016"/>
      <c r="M69" s="1017">
        <f t="shared" si="1"/>
        <v>120459.74793669712</v>
      </c>
      <c r="N69" s="1017"/>
      <c r="O69" s="1018">
        <f t="shared" si="3"/>
        <v>185286.39965452373</v>
      </c>
      <c r="P69" s="1018"/>
      <c r="Q69" s="1018"/>
      <c r="R69" s="1021">
        <f t="shared" si="4"/>
        <v>69.417827298050142</v>
      </c>
      <c r="S69" s="9"/>
      <c r="T69" s="9">
        <f t="shared" si="5"/>
        <v>12.034285714285719</v>
      </c>
      <c r="U69" s="9"/>
      <c r="V69" s="9">
        <f t="shared" si="6"/>
        <v>73.208571428571574</v>
      </c>
      <c r="W69" s="9"/>
      <c r="X69" s="9">
        <f t="shared" si="7"/>
        <v>83.2371428571428</v>
      </c>
      <c r="Y69" s="9"/>
      <c r="Z69" s="11">
        <f t="shared" si="8"/>
        <v>46.131428571428422</v>
      </c>
      <c r="AA69" s="30"/>
      <c r="AB69" s="11">
        <f t="shared" si="9"/>
        <v>28.080000000000002</v>
      </c>
      <c r="AC69" s="30"/>
      <c r="AD69" s="11">
        <f t="shared" si="10"/>
        <v>26.074285714285718</v>
      </c>
      <c r="AE69" s="30"/>
      <c r="AF69" s="30"/>
    </row>
    <row r="70" spans="1:32" x14ac:dyDescent="0.2">
      <c r="A70" s="9" t="s">
        <v>106</v>
      </c>
      <c r="B70" s="10">
        <v>3528</v>
      </c>
      <c r="C70" s="9">
        <f>SUMIF('2015 Factor % to units'!$B:$B,$B70,'2015 Factor % to units'!$G:$G)</f>
        <v>92.338935574229694</v>
      </c>
      <c r="D70" s="9">
        <f>SUMIF('2015 Factor % to units'!$B:$B,$B70,'2015 Factor % to units'!$X:$X)</f>
        <v>18.052023121387268</v>
      </c>
      <c r="E70" s="9">
        <f>SUMIF('2015 Factor % to units'!$B:$B,$B70,'2015 Factor % to units'!$Z:$Z)</f>
        <v>55.158959537572137</v>
      </c>
      <c r="F70" s="9">
        <f>SUMIF('2015 Factor % to units'!$B:$B,$B70,'2015 Factor % to units'!$AB:$AB)</f>
        <v>83.239884393063647</v>
      </c>
      <c r="G70" s="9">
        <f>SUMIF('2015 Factor % to units'!$B:$B,$B70,'2015 Factor % to units'!$AD:$AD)</f>
        <v>21.060693641618492</v>
      </c>
      <c r="H70" s="9">
        <f>SUMIF('2015 Factor % to units'!$B:$B,$B70,'2015 Factor % to units'!$AF:$AF)</f>
        <v>24.06936416184972</v>
      </c>
      <c r="I70" s="9">
        <f>SUMIF('2015 Factor % to units'!$B:$B,$B70,'2015 Factor % to units'!$AH:$AH)</f>
        <v>17.049132947976876</v>
      </c>
      <c r="J70" s="1016">
        <f t="shared" ref="J70:J76" si="11">SUM(C70:I70)</f>
        <v>310.96899337769781</v>
      </c>
      <c r="K70" s="1016">
        <f>C$2*C70</f>
        <v>86231.797356088631</v>
      </c>
      <c r="L70" s="1016"/>
      <c r="M70" s="1017">
        <f t="shared" ref="M70:M76" si="12">D$2*D70+E$2*E70+F$2*F70+G$2*G70+H$2*H70+I$2*I70</f>
        <v>92910.428733538138</v>
      </c>
      <c r="N70" s="1017"/>
      <c r="O70" s="1018">
        <f t="shared" si="3"/>
        <v>179142.22608962678</v>
      </c>
      <c r="P70" s="1018"/>
      <c r="Q70" s="1018"/>
      <c r="R70" s="1021">
        <f t="shared" si="4"/>
        <v>92.338935574229694</v>
      </c>
      <c r="S70" s="9"/>
      <c r="T70" s="9">
        <f t="shared" si="5"/>
        <v>18.052023121387268</v>
      </c>
      <c r="U70" s="9"/>
      <c r="V70" s="9">
        <f t="shared" si="6"/>
        <v>55.158959537572137</v>
      </c>
      <c r="W70" s="9"/>
      <c r="X70" s="9">
        <f t="shared" si="7"/>
        <v>83.239884393063647</v>
      </c>
      <c r="Y70" s="9"/>
      <c r="Z70" s="11">
        <f t="shared" si="8"/>
        <v>21.060693641618492</v>
      </c>
      <c r="AA70" s="30"/>
      <c r="AB70" s="11">
        <f t="shared" si="9"/>
        <v>24.06936416184972</v>
      </c>
      <c r="AC70" s="30"/>
      <c r="AD70" s="11">
        <f t="shared" si="10"/>
        <v>17.049132947976876</v>
      </c>
      <c r="AE70" s="30"/>
      <c r="AF70" s="30"/>
    </row>
    <row r="71" spans="1:32" x14ac:dyDescent="0.2">
      <c r="A71" s="9" t="s">
        <v>107</v>
      </c>
      <c r="B71" s="10">
        <v>3534</v>
      </c>
      <c r="C71" s="9">
        <f>SUMIF('2015 Factor % to units'!$B:$B,$B71,'2015 Factor % to units'!$G:$G)</f>
        <v>37.932773109243698</v>
      </c>
      <c r="D71" s="9">
        <f>SUMIF('2015 Factor % to units'!$B:$B,$B71,'2015 Factor % to units'!$X:$X)</f>
        <v>8.0329218106995945</v>
      </c>
      <c r="E71" s="9">
        <f>SUMIF('2015 Factor % to units'!$B:$B,$B71,'2015 Factor % to units'!$Z:$Z)</f>
        <v>20.08230452674897</v>
      </c>
      <c r="F71" s="9">
        <f>SUMIF('2015 Factor % to units'!$B:$B,$B71,'2015 Factor % to units'!$AB:$AB)</f>
        <v>16.065843621399189</v>
      </c>
      <c r="G71" s="9">
        <f>SUMIF('2015 Factor % to units'!$B:$B,$B71,'2015 Factor % to units'!$AD:$AD)</f>
        <v>8.0329218106995945</v>
      </c>
      <c r="H71" s="9">
        <f>SUMIF('2015 Factor % to units'!$B:$B,$B71,'2015 Factor % to units'!$AF:$AF)</f>
        <v>2.0082304526748973</v>
      </c>
      <c r="I71" s="9">
        <f>SUMIF('2015 Factor % to units'!$B:$B,$B71,'2015 Factor % to units'!$AH:$AH)</f>
        <v>1.0041152263374487</v>
      </c>
      <c r="J71" s="1016">
        <f t="shared" si="11"/>
        <v>93.159110557803388</v>
      </c>
      <c r="K71" s="1016">
        <f t="shared" ref="K71:K76" si="13">C$2*C71</f>
        <v>35423.964804979594</v>
      </c>
      <c r="L71" s="1016"/>
      <c r="M71" s="1017">
        <f t="shared" si="12"/>
        <v>17918.305104679908</v>
      </c>
      <c r="N71" s="1017"/>
      <c r="O71" s="1018">
        <f t="shared" ref="O71:O76" si="14">K71+L71+M71+N71</f>
        <v>53342.269909659502</v>
      </c>
      <c r="P71" s="1018"/>
      <c r="Q71" s="1018"/>
      <c r="R71" s="1021">
        <f t="shared" si="4"/>
        <v>37.932773109243698</v>
      </c>
      <c r="S71" s="9"/>
      <c r="T71" s="9">
        <f t="shared" si="5"/>
        <v>8.0329218106995945</v>
      </c>
      <c r="U71" s="9"/>
      <c r="V71" s="9">
        <f t="shared" si="6"/>
        <v>20.08230452674897</v>
      </c>
      <c r="W71" s="9"/>
      <c r="X71" s="9">
        <f t="shared" si="7"/>
        <v>16.065843621399189</v>
      </c>
      <c r="Y71" s="9"/>
      <c r="Z71" s="11">
        <f t="shared" si="8"/>
        <v>8.0329218106995945</v>
      </c>
      <c r="AA71" s="30"/>
      <c r="AB71" s="11">
        <f t="shared" si="9"/>
        <v>2.0082304526748973</v>
      </c>
      <c r="AC71" s="30"/>
      <c r="AD71" s="11">
        <f t="shared" si="10"/>
        <v>1.0041152263374487</v>
      </c>
      <c r="AE71" s="30"/>
      <c r="AF71" s="30"/>
    </row>
    <row r="72" spans="1:32" x14ac:dyDescent="0.2">
      <c r="A72" s="9" t="s">
        <v>108</v>
      </c>
      <c r="B72" s="10">
        <v>3532</v>
      </c>
      <c r="C72" s="9">
        <f>SUMIF('2015 Factor % to units'!$B:$B,$B72,'2015 Factor % to units'!$G:$G)</f>
        <v>26.600660066006601</v>
      </c>
      <c r="D72" s="9">
        <f>SUMIF('2015 Factor % to units'!$B:$B,$B72,'2015 Factor % to units'!$X:$X)</f>
        <v>47.152103559870497</v>
      </c>
      <c r="E72" s="9">
        <f>SUMIF('2015 Factor % to units'!$B:$B,$B72,'2015 Factor % to units'!$Z:$Z)</f>
        <v>24.077669902912632</v>
      </c>
      <c r="F72" s="9">
        <f>SUMIF('2015 Factor % to units'!$B:$B,$B72,'2015 Factor % to units'!$AB:$AB)</f>
        <v>6.0194174757281429</v>
      </c>
      <c r="G72" s="9">
        <f>SUMIF('2015 Factor % to units'!$B:$B,$B72,'2015 Factor % to units'!$AD:$AD)</f>
        <v>5.0161812297734674</v>
      </c>
      <c r="H72" s="9">
        <f>SUMIF('2015 Factor % to units'!$B:$B,$B72,'2015 Factor % to units'!$AF:$AF)</f>
        <v>3.0097087378640781</v>
      </c>
      <c r="I72" s="9">
        <f>SUMIF('2015 Factor % to units'!$B:$B,$B72,'2015 Factor % to units'!$AH:$AH)</f>
        <v>0</v>
      </c>
      <c r="J72" s="1016">
        <f t="shared" si="11"/>
        <v>111.87574097215541</v>
      </c>
      <c r="K72" s="1016">
        <f t="shared" si="13"/>
        <v>24841.338207825836</v>
      </c>
      <c r="L72" s="1016"/>
      <c r="M72" s="1017">
        <f t="shared" si="12"/>
        <v>18485.099545319597</v>
      </c>
      <c r="N72" s="1017"/>
      <c r="O72" s="1018">
        <f t="shared" si="14"/>
        <v>43326.437753145437</v>
      </c>
      <c r="P72" s="1018"/>
      <c r="Q72" s="1018"/>
      <c r="R72" s="1021">
        <f t="shared" ref="R72:R76" si="15">C72</f>
        <v>26.600660066006601</v>
      </c>
      <c r="S72" s="9"/>
      <c r="T72" s="9">
        <f t="shared" ref="T72:T76" si="16">D72</f>
        <v>47.152103559870497</v>
      </c>
      <c r="U72" s="9"/>
      <c r="V72" s="9">
        <f t="shared" ref="V72:V76" si="17">E72</f>
        <v>24.077669902912632</v>
      </c>
      <c r="W72" s="9"/>
      <c r="X72" s="9">
        <f t="shared" ref="X72:X76" si="18">F72</f>
        <v>6.0194174757281429</v>
      </c>
      <c r="Y72" s="9"/>
      <c r="Z72" s="11">
        <f t="shared" ref="Z72:Z76" si="19">G72</f>
        <v>5.0161812297734674</v>
      </c>
      <c r="AA72" s="30"/>
      <c r="AB72" s="11">
        <f t="shared" ref="AB72:AB76" si="20">H72</f>
        <v>3.0097087378640781</v>
      </c>
      <c r="AC72" s="30"/>
      <c r="AD72" s="11">
        <f t="shared" ref="AD72:AD76" si="21">I72</f>
        <v>0</v>
      </c>
      <c r="AE72" s="30"/>
      <c r="AF72" s="30"/>
    </row>
    <row r="73" spans="1:32" x14ac:dyDescent="0.2">
      <c r="A73" s="9" t="s">
        <v>65</v>
      </c>
      <c r="B73" s="10">
        <v>3546</v>
      </c>
      <c r="C73" s="9">
        <f>SUMIF('2015 Factor % to units'!$B:$B,$B73,'2015 Factor % to units'!$G:$G)</f>
        <v>216.98706099815155</v>
      </c>
      <c r="D73" s="9">
        <f>SUMIF('2015 Factor % to units'!$B:$B,$B73,'2015 Factor % to units'!$X:$X)</f>
        <v>52.095412844036723</v>
      </c>
      <c r="E73" s="9">
        <f>SUMIF('2015 Factor % to units'!$B:$B,$B73,'2015 Factor % to units'!$Z:$Z)</f>
        <v>2.0036697247706412</v>
      </c>
      <c r="F73" s="9">
        <f>SUMIF('2015 Factor % to units'!$B:$B,$B73,'2015 Factor % to units'!$AB:$AB)</f>
        <v>61.1119266055045</v>
      </c>
      <c r="G73" s="9">
        <f>SUMIF('2015 Factor % to units'!$B:$B,$B73,'2015 Factor % to units'!$AD:$AD)</f>
        <v>172.31559633027501</v>
      </c>
      <c r="H73" s="9">
        <f>SUMIF('2015 Factor % to units'!$B:$B,$B73,'2015 Factor % to units'!$AF:$AF)</f>
        <v>10.018348623853205</v>
      </c>
      <c r="I73" s="9">
        <f>SUMIF('2015 Factor % to units'!$B:$B,$B73,'2015 Factor % to units'!$AH:$AH)</f>
        <v>203.37247706422048</v>
      </c>
      <c r="J73" s="1016">
        <f t="shared" si="11"/>
        <v>717.90449219081211</v>
      </c>
      <c r="K73" s="1016">
        <f t="shared" si="13"/>
        <v>202635.91037222045</v>
      </c>
      <c r="L73" s="1016"/>
      <c r="M73" s="1017">
        <f t="shared" si="12"/>
        <v>309510.11185041902</v>
      </c>
      <c r="N73" s="1017"/>
      <c r="O73" s="1018">
        <f t="shared" si="14"/>
        <v>512146.02222263947</v>
      </c>
      <c r="P73" s="1018"/>
      <c r="Q73" s="1018"/>
      <c r="R73" s="1021">
        <f t="shared" si="15"/>
        <v>216.98706099815155</v>
      </c>
      <c r="S73" s="9"/>
      <c r="T73" s="9">
        <f t="shared" si="16"/>
        <v>52.095412844036723</v>
      </c>
      <c r="U73" s="9"/>
      <c r="V73" s="9">
        <f t="shared" si="17"/>
        <v>2.0036697247706412</v>
      </c>
      <c r="W73" s="9"/>
      <c r="X73" s="9">
        <f t="shared" si="18"/>
        <v>61.1119266055045</v>
      </c>
      <c r="Y73" s="9"/>
      <c r="Z73" s="11">
        <f t="shared" si="19"/>
        <v>172.31559633027501</v>
      </c>
      <c r="AA73" s="30"/>
      <c r="AB73" s="11">
        <f t="shared" si="20"/>
        <v>10.018348623853205</v>
      </c>
      <c r="AC73" s="30"/>
      <c r="AD73" s="11">
        <f t="shared" si="21"/>
        <v>203.37247706422048</v>
      </c>
      <c r="AE73" s="30"/>
      <c r="AF73" s="30"/>
    </row>
    <row r="74" spans="1:32" x14ac:dyDescent="0.2">
      <c r="A74" s="9" t="s">
        <v>109</v>
      </c>
      <c r="B74" s="10">
        <v>3530</v>
      </c>
      <c r="C74" s="9">
        <f>SUMIF('2015 Factor % to units'!$B:$B,$B74,'2015 Factor % to units'!$G:$G)</f>
        <v>13.511475409836065</v>
      </c>
      <c r="D74" s="9">
        <f>SUMIF('2015 Factor % to units'!$B:$B,$B74,'2015 Factor % to units'!$X:$X)</f>
        <v>3.0286624203821639</v>
      </c>
      <c r="E74" s="9">
        <f>SUMIF('2015 Factor % to units'!$B:$B,$B74,'2015 Factor % to units'!$Z:$Z)</f>
        <v>27.257961783439484</v>
      </c>
      <c r="F74" s="9">
        <f>SUMIF('2015 Factor % to units'!$B:$B,$B74,'2015 Factor % to units'!$AB:$AB)</f>
        <v>10.09554140127389</v>
      </c>
      <c r="G74" s="9">
        <f>SUMIF('2015 Factor % to units'!$B:$B,$B74,'2015 Factor % to units'!$AD:$AD)</f>
        <v>0</v>
      </c>
      <c r="H74" s="9">
        <f>SUMIF('2015 Factor % to units'!$B:$B,$B74,'2015 Factor % to units'!$AF:$AF)</f>
        <v>1.0095541401273891</v>
      </c>
      <c r="I74" s="9">
        <f>SUMIF('2015 Factor % to units'!$B:$B,$B74,'2015 Factor % to units'!$AH:$AH)</f>
        <v>0</v>
      </c>
      <c r="J74" s="1016">
        <f t="shared" si="11"/>
        <v>54.903195155058995</v>
      </c>
      <c r="K74" s="1016">
        <f t="shared" si="13"/>
        <v>12617.849689052771</v>
      </c>
      <c r="L74" s="1016"/>
      <c r="M74" s="1017">
        <f t="shared" si="12"/>
        <v>11256.587864113302</v>
      </c>
      <c r="N74" s="1017"/>
      <c r="O74" s="1018">
        <f t="shared" si="14"/>
        <v>23874.437553166073</v>
      </c>
      <c r="P74" s="1018"/>
      <c r="Q74" s="1018"/>
      <c r="R74" s="1021">
        <f t="shared" si="15"/>
        <v>13.511475409836065</v>
      </c>
      <c r="S74" s="9"/>
      <c r="T74" s="9">
        <f t="shared" si="16"/>
        <v>3.0286624203821639</v>
      </c>
      <c r="U74" s="9"/>
      <c r="V74" s="9">
        <f t="shared" si="17"/>
        <v>27.257961783439484</v>
      </c>
      <c r="W74" s="9"/>
      <c r="X74" s="9">
        <f t="shared" si="18"/>
        <v>10.09554140127389</v>
      </c>
      <c r="Y74" s="9"/>
      <c r="Z74" s="11">
        <f t="shared" si="19"/>
        <v>0</v>
      </c>
      <c r="AA74" s="30"/>
      <c r="AB74" s="11">
        <f t="shared" si="20"/>
        <v>1.0095541401273891</v>
      </c>
      <c r="AC74" s="30"/>
      <c r="AD74" s="11">
        <f t="shared" si="21"/>
        <v>0</v>
      </c>
      <c r="AE74" s="30"/>
      <c r="AF74" s="30"/>
    </row>
    <row r="75" spans="1:32" x14ac:dyDescent="0.2">
      <c r="A75" s="9" t="s">
        <v>67</v>
      </c>
      <c r="B75" s="10">
        <v>2459</v>
      </c>
      <c r="C75" s="9">
        <f>SUMIF('2015 Factor % to units'!$B:$B,$B75,'2015 Factor % to units'!$G:$G)</f>
        <v>36.185567010309278</v>
      </c>
      <c r="D75" s="9">
        <f>SUMIF('2015 Factor % to units'!$B:$B,$B75,'2015 Factor % to units'!$X:$X)</f>
        <v>4.999999999999992</v>
      </c>
      <c r="E75" s="9">
        <f>SUMIF('2015 Factor % to units'!$B:$B,$B75,'2015 Factor % to units'!$Z:$Z)</f>
        <v>7.9999999999999947</v>
      </c>
      <c r="F75" s="9">
        <f>SUMIF('2015 Factor % to units'!$B:$B,$B75,'2015 Factor % to units'!$AB:$AB)</f>
        <v>4.999999999999992</v>
      </c>
      <c r="G75" s="9">
        <f>SUMIF('2015 Factor % to units'!$B:$B,$B75,'2015 Factor % to units'!$AD:$AD)</f>
        <v>0</v>
      </c>
      <c r="H75" s="9">
        <f>SUMIF('2015 Factor % to units'!$B:$B,$B75,'2015 Factor % to units'!$AF:$AF)</f>
        <v>0</v>
      </c>
      <c r="I75" s="9">
        <f>SUMIF('2015 Factor % to units'!$B:$B,$B75,'2015 Factor % to units'!$AH:$AH)</f>
        <v>0</v>
      </c>
      <c r="J75" s="1016">
        <f t="shared" si="11"/>
        <v>54.185567010309256</v>
      </c>
      <c r="K75" s="1016">
        <f t="shared" si="13"/>
        <v>33792.315909248944</v>
      </c>
      <c r="L75" s="1016"/>
      <c r="M75" s="1017">
        <f t="shared" si="12"/>
        <v>4225.4708091459752</v>
      </c>
      <c r="N75" s="1017"/>
      <c r="O75" s="1018">
        <f t="shared" si="14"/>
        <v>38017.78671839492</v>
      </c>
      <c r="P75" s="1018"/>
      <c r="Q75" s="1018"/>
      <c r="R75" s="1021">
        <f t="shared" si="15"/>
        <v>36.185567010309278</v>
      </c>
      <c r="S75" s="9"/>
      <c r="T75" s="9">
        <f t="shared" si="16"/>
        <v>4.999999999999992</v>
      </c>
      <c r="U75" s="9"/>
      <c r="V75" s="9">
        <f t="shared" si="17"/>
        <v>7.9999999999999947</v>
      </c>
      <c r="W75" s="9"/>
      <c r="X75" s="9">
        <f t="shared" si="18"/>
        <v>4.999999999999992</v>
      </c>
      <c r="Y75" s="9"/>
      <c r="Z75" s="11">
        <f t="shared" si="19"/>
        <v>0</v>
      </c>
      <c r="AA75" s="30"/>
      <c r="AB75" s="11">
        <f t="shared" si="20"/>
        <v>0</v>
      </c>
      <c r="AC75" s="30"/>
      <c r="AD75" s="11">
        <f t="shared" si="21"/>
        <v>0</v>
      </c>
      <c r="AE75" s="30"/>
      <c r="AF75" s="30"/>
    </row>
    <row r="76" spans="1:32" x14ac:dyDescent="0.2">
      <c r="A76" s="9" t="s">
        <v>912</v>
      </c>
      <c r="B76" s="10">
        <v>4000</v>
      </c>
      <c r="C76" s="9">
        <f>SUMIF('2015 Factor % to units'!$B:$B,$B76,'2015 Factor % to units'!$G:$G)</f>
        <v>83.075709779179817</v>
      </c>
      <c r="D76" s="9">
        <f>SUMIF('2015 Factor % to units'!$B:$B,$B76,'2015 Factor % to units'!$X:$X)</f>
        <v>5.7974683544303725</v>
      </c>
      <c r="E76" s="9">
        <f>SUMIF('2015 Factor % to units'!$B:$B,$B76,'2015 Factor % to units'!$Z:$Z)</f>
        <v>40.582278481012722</v>
      </c>
      <c r="F76" s="9">
        <f>SUMIF('2015 Factor % to units'!$B:$B,$B76,'2015 Factor % to units'!$AB:$AB)</f>
        <v>76.816455696202638</v>
      </c>
      <c r="G76" s="9">
        <f>SUMIF('2015 Factor % to units'!$B:$B,$B76,'2015 Factor % to units'!$AD:$AD)</f>
        <v>69.569620253164473</v>
      </c>
      <c r="H76" s="9">
        <f>SUMIF('2015 Factor % to units'!$B:$B,$B76,'2015 Factor % to units'!$AF:$AF)</f>
        <v>4.3481012658227849</v>
      </c>
      <c r="I76" s="9">
        <f>SUMIF('2015 Factor % to units'!$B:$B,$B76,'2015 Factor % to units'!$AH:$AH)</f>
        <v>7.2468354430379831</v>
      </c>
      <c r="J76" s="1016">
        <f t="shared" si="11"/>
        <v>287.43646927285079</v>
      </c>
      <c r="K76" s="1016">
        <f t="shared" si="13"/>
        <v>77581.225366547937</v>
      </c>
      <c r="L76" s="1016"/>
      <c r="M76" s="1017">
        <f t="shared" si="12"/>
        <v>80839.309800795978</v>
      </c>
      <c r="N76" s="1017"/>
      <c r="O76" s="1018">
        <f t="shared" si="14"/>
        <v>158420.53516734391</v>
      </c>
      <c r="P76" s="1018"/>
      <c r="Q76" s="1018"/>
      <c r="R76" s="1021">
        <f t="shared" si="15"/>
        <v>83.075709779179817</v>
      </c>
      <c r="S76" s="9"/>
      <c r="T76" s="9">
        <f t="shared" si="16"/>
        <v>5.7974683544303725</v>
      </c>
      <c r="U76" s="9"/>
      <c r="V76" s="9">
        <f t="shared" si="17"/>
        <v>40.582278481012722</v>
      </c>
      <c r="W76" s="9"/>
      <c r="X76" s="9">
        <f t="shared" si="18"/>
        <v>76.816455696202638</v>
      </c>
      <c r="Y76" s="9"/>
      <c r="Z76" s="11">
        <f t="shared" si="19"/>
        <v>69.569620253164473</v>
      </c>
      <c r="AA76" s="30"/>
      <c r="AB76" s="11">
        <f t="shared" si="20"/>
        <v>4.3481012658227849</v>
      </c>
      <c r="AC76" s="30"/>
      <c r="AD76" s="11">
        <f t="shared" si="21"/>
        <v>7.2468354430379831</v>
      </c>
      <c r="AE76" s="30"/>
      <c r="AF76" s="30"/>
    </row>
    <row r="77" spans="1:32" x14ac:dyDescent="0.2">
      <c r="A77" s="9"/>
      <c r="B77" s="10"/>
      <c r="C77" s="9"/>
      <c r="D77" s="9"/>
      <c r="E77" s="9"/>
      <c r="F77" s="9"/>
      <c r="G77" s="9"/>
      <c r="H77" s="9"/>
      <c r="I77" s="9"/>
      <c r="J77" s="1016"/>
      <c r="K77" s="1016"/>
      <c r="L77" s="1016"/>
      <c r="M77" s="1017"/>
      <c r="N77" s="1017"/>
      <c r="O77" s="1018"/>
      <c r="P77" s="1018"/>
      <c r="Q77" s="1018"/>
      <c r="S77" s="9"/>
      <c r="T77" s="9"/>
      <c r="U77" s="9"/>
      <c r="V77" s="9"/>
      <c r="W77" s="9"/>
      <c r="X77" s="9"/>
      <c r="Y77" s="9"/>
      <c r="Z77" s="30"/>
      <c r="AA77" s="30"/>
      <c r="AB77" s="30"/>
      <c r="AC77" s="30"/>
      <c r="AD77" s="30"/>
      <c r="AE77" s="30"/>
      <c r="AF77" s="30"/>
    </row>
    <row r="78" spans="1:32" x14ac:dyDescent="0.2">
      <c r="A78" s="1" t="s">
        <v>110</v>
      </c>
      <c r="B78" s="1" t="s">
        <v>110</v>
      </c>
      <c r="C78" s="29">
        <f t="shared" ref="C78:O78" si="22">SUM(C6:C76)</f>
        <v>7025.3086332278335</v>
      </c>
      <c r="D78" s="29">
        <f t="shared" si="22"/>
        <v>1465.0789903716257</v>
      </c>
      <c r="E78" s="29">
        <f t="shared" si="22"/>
        <v>2201.9758592661742</v>
      </c>
      <c r="F78" s="29">
        <f t="shared" si="22"/>
        <v>3910.9188598224428</v>
      </c>
      <c r="G78" s="29">
        <f t="shared" si="22"/>
        <v>2893.0609453786046</v>
      </c>
      <c r="H78" s="29">
        <f t="shared" si="22"/>
        <v>1903.9777417640619</v>
      </c>
      <c r="I78" s="29">
        <f t="shared" si="22"/>
        <v>1219.6762336846105</v>
      </c>
      <c r="J78" s="1019">
        <f t="shared" si="22"/>
        <v>20619.997263515364</v>
      </c>
      <c r="K78" s="1019">
        <f t="shared" si="22"/>
        <v>6560666.8157603592</v>
      </c>
      <c r="L78" s="1019">
        <f t="shared" si="22"/>
        <v>0</v>
      </c>
      <c r="M78" s="1019">
        <f t="shared" si="22"/>
        <v>6359852.3202764802</v>
      </c>
      <c r="N78" s="1019">
        <f t="shared" si="22"/>
        <v>0</v>
      </c>
      <c r="O78" s="1019">
        <f t="shared" si="22"/>
        <v>12920519.136036837</v>
      </c>
      <c r="P78" s="1019"/>
      <c r="Q78" s="1019"/>
      <c r="R78" s="1019">
        <f>SUM(R6:R76)</f>
        <v>7025.3086332278335</v>
      </c>
      <c r="S78" s="1019">
        <f t="shared" ref="S78:AE78" si="23">SUM(S6:S76)</f>
        <v>0</v>
      </c>
      <c r="T78" s="1019">
        <f t="shared" si="23"/>
        <v>1465.0789903716257</v>
      </c>
      <c r="U78" s="1019">
        <f t="shared" si="23"/>
        <v>0</v>
      </c>
      <c r="V78" s="1019">
        <f t="shared" si="23"/>
        <v>2201.9758592661742</v>
      </c>
      <c r="W78" s="1019">
        <f t="shared" si="23"/>
        <v>0</v>
      </c>
      <c r="X78" s="1019">
        <f t="shared" si="23"/>
        <v>3910.9188598224428</v>
      </c>
      <c r="Y78" s="1019">
        <f t="shared" si="23"/>
        <v>0</v>
      </c>
      <c r="Z78" s="1019">
        <f t="shared" si="23"/>
        <v>2893.0609453786046</v>
      </c>
      <c r="AA78" s="1019">
        <f t="shared" si="23"/>
        <v>0</v>
      </c>
      <c r="AB78" s="1019">
        <f t="shared" si="23"/>
        <v>1903.9777417640619</v>
      </c>
      <c r="AC78" s="1019">
        <f t="shared" si="23"/>
        <v>0</v>
      </c>
      <c r="AD78" s="1019">
        <f t="shared" si="23"/>
        <v>1219.6762336846105</v>
      </c>
      <c r="AE78" s="1019">
        <f t="shared" si="23"/>
        <v>0</v>
      </c>
      <c r="AF78" s="30"/>
    </row>
    <row r="79" spans="1:32" x14ac:dyDescent="0.2">
      <c r="A79" s="9">
        <f>6838-7025</f>
        <v>-187</v>
      </c>
      <c r="B79" s="10"/>
      <c r="C79" s="9"/>
      <c r="D79" s="9"/>
      <c r="E79" s="9"/>
      <c r="F79" s="9"/>
      <c r="G79" s="9"/>
      <c r="H79" s="9"/>
      <c r="I79" s="9"/>
      <c r="J79" s="1016"/>
      <c r="K79" s="1016"/>
      <c r="L79" s="1016"/>
      <c r="M79" s="1017"/>
      <c r="N79" s="1017"/>
      <c r="S79" s="9"/>
      <c r="T79" s="9"/>
      <c r="U79" s="9"/>
      <c r="V79" s="9"/>
      <c r="W79" s="9"/>
      <c r="X79" s="9"/>
      <c r="Y79" s="9"/>
      <c r="Z79" s="30"/>
      <c r="AA79" s="30"/>
      <c r="AB79" s="30"/>
      <c r="AC79" s="30"/>
      <c r="AD79" s="30"/>
      <c r="AE79" s="30"/>
      <c r="AF79" s="30"/>
    </row>
    <row r="80" spans="1:32" x14ac:dyDescent="0.2">
      <c r="A80" s="9" t="s">
        <v>75</v>
      </c>
      <c r="B80" s="10">
        <v>5402</v>
      </c>
      <c r="C80" s="9">
        <f>SUMIF('2015 Factor % to units'!$B:$B,$B80,'2015 Factor % to units'!$H:$H)</f>
        <v>205.38045112781955</v>
      </c>
      <c r="D80" s="9">
        <f>SUMIF('2015 Factor % to units'!$B:$B,$B80,'2015 Factor % to units'!$Y:$Y)</f>
        <v>12.018126888217523</v>
      </c>
      <c r="E80" s="9">
        <f>SUMIF('2015 Factor % to units'!$B:$B,$B80,'2015 Factor % to units'!$AA:$AA)</f>
        <v>153.23111782477349</v>
      </c>
      <c r="F80" s="9">
        <f>SUMIF('2015 Factor % to units'!$B:$B,$B80,'2015 Factor % to units'!$AC:$AC)</f>
        <v>8.0120845921450119</v>
      </c>
      <c r="G80" s="9">
        <f>SUMIF('2015 Factor % to units'!$B:$B,$B80,'2015 Factor % to units'!$AE:$AE)</f>
        <v>13.019637462235645</v>
      </c>
      <c r="H80" s="9">
        <f>SUMIF('2015 Factor % to units'!$B:$B,$B80,'2015 Factor % to units'!$AG:$AG)</f>
        <v>10.015105740181268</v>
      </c>
      <c r="I80" s="9">
        <f>SUMIF('2015 Factor % to units'!$B:$B,$B80,'2015 Factor % to units'!$AI:$AI)</f>
        <v>7.0105740181268894</v>
      </c>
      <c r="J80" s="1016">
        <f>SUM(C80:I80)</f>
        <v>408.68709765349934</v>
      </c>
      <c r="K80" s="1016"/>
      <c r="L80" s="1016">
        <f t="shared" ref="L80:L93" si="24">C$3*C80</f>
        <v>146890.70803331639</v>
      </c>
      <c r="M80" s="1017"/>
      <c r="N80" s="1017">
        <f t="shared" ref="N80:N93" si="25">D$3*D80+E$3*E80+F$3*F80+G$3*G80+H$3*H80+I$3*I80</f>
        <v>49529.98176570794</v>
      </c>
      <c r="O80" s="1018">
        <f>K80+L80+M80+N80</f>
        <v>196420.68979902432</v>
      </c>
      <c r="P80" s="1018"/>
      <c r="Q80" s="1018"/>
      <c r="S80" s="9">
        <f>C80</f>
        <v>205.38045112781955</v>
      </c>
      <c r="T80" s="9"/>
      <c r="U80" s="9">
        <f>D80</f>
        <v>12.018126888217523</v>
      </c>
      <c r="V80" s="9"/>
      <c r="W80" s="9">
        <f>E80</f>
        <v>153.23111782477349</v>
      </c>
      <c r="X80" s="9"/>
      <c r="Y80" s="9">
        <f>F80</f>
        <v>8.0120845921450119</v>
      </c>
      <c r="Z80" s="30"/>
      <c r="AA80" s="11">
        <f>G80</f>
        <v>13.019637462235645</v>
      </c>
      <c r="AB80" s="30"/>
      <c r="AC80" s="11">
        <f>H80</f>
        <v>10.015105740181268</v>
      </c>
      <c r="AD80" s="30"/>
      <c r="AE80" s="11">
        <f>I80</f>
        <v>7.0105740181268894</v>
      </c>
      <c r="AF80" s="30"/>
    </row>
    <row r="81" spans="1:32" x14ac:dyDescent="0.2">
      <c r="A81" s="9" t="s">
        <v>68</v>
      </c>
      <c r="B81" s="10">
        <v>4608</v>
      </c>
      <c r="C81" s="9">
        <f>SUMIF('2015 Factor % to units'!$B:$B,$B81,'2015 Factor % to units'!$H:$H)</f>
        <v>319.30545454545455</v>
      </c>
      <c r="D81" s="9">
        <f>SUMIF('2015 Factor % to units'!$B:$B,$B81,'2015 Factor % to units'!$Y:$Y)</f>
        <v>63.113924050632697</v>
      </c>
      <c r="E81" s="9">
        <f>SUMIF('2015 Factor % to units'!$B:$B,$B81,'2015 Factor % to units'!$AA:$AA)</f>
        <v>62.112115732368942</v>
      </c>
      <c r="F81" s="9">
        <f>SUMIF('2015 Factor % to units'!$B:$B,$B81,'2015 Factor % to units'!$AC:$AC)</f>
        <v>57.103074141049049</v>
      </c>
      <c r="G81" s="9">
        <f>SUMIF('2015 Factor % to units'!$B:$B,$B81,'2015 Factor % to units'!$AE:$AE)</f>
        <v>44.07956600361662</v>
      </c>
      <c r="H81" s="9">
        <f>SUMIF('2015 Factor % to units'!$B:$B,$B81,'2015 Factor % to units'!$AG:$AG)</f>
        <v>225.40687160940328</v>
      </c>
      <c r="I81" s="9">
        <f>SUMIF('2015 Factor % to units'!$B:$B,$B81,'2015 Factor % to units'!$AI:$AI)</f>
        <v>7.01265822784812</v>
      </c>
      <c r="J81" s="1016">
        <f t="shared" ref="J81:J93" si="26">SUM(C81:I81)</f>
        <v>778.13366431037321</v>
      </c>
      <c r="K81" s="1016"/>
      <c r="L81" s="1016">
        <f t="shared" si="24"/>
        <v>228371.31791034687</v>
      </c>
      <c r="M81" s="1017"/>
      <c r="N81" s="1017">
        <f t="shared" si="25"/>
        <v>223353.72643510668</v>
      </c>
      <c r="O81" s="1018">
        <f t="shared" ref="O81:O93" si="27">K81+L81+M81+N81</f>
        <v>451725.04434545356</v>
      </c>
      <c r="P81" s="1018"/>
      <c r="Q81" s="1018"/>
      <c r="S81" s="9">
        <f t="shared" ref="S81:S92" si="28">C81</f>
        <v>319.30545454545455</v>
      </c>
      <c r="T81" s="9"/>
      <c r="U81" s="9">
        <f t="shared" ref="U81:U92" si="29">D81</f>
        <v>63.113924050632697</v>
      </c>
      <c r="V81" s="9"/>
      <c r="W81" s="9">
        <f t="shared" ref="W81:W92" si="30">E81</f>
        <v>62.112115732368942</v>
      </c>
      <c r="X81" s="9"/>
      <c r="Y81" s="9">
        <f t="shared" ref="Y81:Y92" si="31">F81</f>
        <v>57.103074141049049</v>
      </c>
      <c r="Z81" s="30"/>
      <c r="AA81" s="11">
        <f t="shared" ref="AA81:AA92" si="32">G81</f>
        <v>44.07956600361662</v>
      </c>
      <c r="AB81" s="30"/>
      <c r="AC81" s="11">
        <f t="shared" ref="AC81:AC92" si="33">H81</f>
        <v>225.40687160940328</v>
      </c>
      <c r="AD81" s="30"/>
      <c r="AE81" s="11">
        <f t="shared" ref="AE81:AE92" si="34">I81</f>
        <v>7.01265822784812</v>
      </c>
      <c r="AF81" s="30"/>
    </row>
    <row r="82" spans="1:32" x14ac:dyDescent="0.2">
      <c r="A82" s="9" t="s">
        <v>111</v>
      </c>
      <c r="B82" s="10">
        <v>4178</v>
      </c>
      <c r="C82" s="9">
        <f>SUMIF('2015 Factor % to units'!$B:$B,$B82,'2015 Factor % to units'!$H:$H)</f>
        <v>527.56330553449584</v>
      </c>
      <c r="D82" s="9">
        <f>SUMIF('2015 Factor % to units'!$B:$B,$B82,'2015 Factor % to units'!$Y:$Y)</f>
        <v>59.271889400921616</v>
      </c>
      <c r="E82" s="9">
        <f>SUMIF('2015 Factor % to units'!$B:$B,$B82,'2015 Factor % to units'!$AA:$AA)</f>
        <v>71.327188940092185</v>
      </c>
      <c r="F82" s="9">
        <f>SUMIF('2015 Factor % to units'!$B:$B,$B82,'2015 Factor % to units'!$AC:$AC)</f>
        <v>442.02764976958537</v>
      </c>
      <c r="G82" s="9">
        <f>SUMIF('2015 Factor % to units'!$B:$B,$B82,'2015 Factor % to units'!$AE:$AE)</f>
        <v>194.89400921658947</v>
      </c>
      <c r="H82" s="9">
        <f>SUMIF('2015 Factor % to units'!$B:$B,$B82,'2015 Factor % to units'!$AG:$AG)</f>
        <v>75.345622119815673</v>
      </c>
      <c r="I82" s="9">
        <f>SUMIF('2015 Factor % to units'!$B:$B,$B82,'2015 Factor % to units'!$AI:$AI)</f>
        <v>83.382488479262634</v>
      </c>
      <c r="J82" s="1016">
        <f t="shared" si="26"/>
        <v>1453.8121534607631</v>
      </c>
      <c r="K82" s="1016"/>
      <c r="L82" s="1016">
        <f t="shared" si="24"/>
        <v>377319.97888216749</v>
      </c>
      <c r="M82" s="1017"/>
      <c r="N82" s="1017">
        <f t="shared" si="25"/>
        <v>333674.81757353863</v>
      </c>
      <c r="O82" s="1018">
        <f t="shared" si="27"/>
        <v>710994.79645570612</v>
      </c>
      <c r="P82" s="1018"/>
      <c r="Q82" s="1018"/>
      <c r="S82" s="9">
        <f t="shared" si="28"/>
        <v>527.56330553449584</v>
      </c>
      <c r="T82" s="9"/>
      <c r="U82" s="9">
        <f t="shared" si="29"/>
        <v>59.271889400921616</v>
      </c>
      <c r="V82" s="9"/>
      <c r="W82" s="9">
        <f t="shared" si="30"/>
        <v>71.327188940092185</v>
      </c>
      <c r="X82" s="9"/>
      <c r="Y82" s="9">
        <f t="shared" si="31"/>
        <v>442.02764976958537</v>
      </c>
      <c r="Z82" s="30"/>
      <c r="AA82" s="11">
        <f t="shared" si="32"/>
        <v>194.89400921658947</v>
      </c>
      <c r="AB82" s="30"/>
      <c r="AC82" s="11">
        <f t="shared" si="33"/>
        <v>75.345622119815673</v>
      </c>
      <c r="AD82" s="30"/>
      <c r="AE82" s="11">
        <f t="shared" si="34"/>
        <v>83.382488479262634</v>
      </c>
      <c r="AF82" s="30"/>
    </row>
    <row r="83" spans="1:32" x14ac:dyDescent="0.2">
      <c r="A83" s="9" t="s">
        <v>69</v>
      </c>
      <c r="B83" s="10">
        <v>4181</v>
      </c>
      <c r="C83" s="9">
        <f>SUMIF('2015 Factor % to units'!$B:$B,$B83,'2015 Factor % to units'!$H:$H)</f>
        <v>287.85489833641401</v>
      </c>
      <c r="D83" s="9">
        <f>SUMIF('2015 Factor % to units'!$B:$B,$B83,'2015 Factor % to units'!$Y:$Y)</f>
        <v>108.67100371747163</v>
      </c>
      <c r="E83" s="9">
        <f>SUMIF('2015 Factor % to units'!$B:$B,$B83,'2015 Factor % to units'!$AA:$AA)</f>
        <v>55.323420074349436</v>
      </c>
      <c r="F83" s="9">
        <f>SUMIF('2015 Factor % to units'!$B:$B,$B83,'2015 Factor % to units'!$AC:$AC)</f>
        <v>179.80111524163527</v>
      </c>
      <c r="G83" s="9">
        <f>SUMIF('2015 Factor % to units'!$B:$B,$B83,'2015 Factor % to units'!$AE:$AE)</f>
        <v>51.371747211895908</v>
      </c>
      <c r="H83" s="9">
        <f>SUMIF('2015 Factor % to units'!$B:$B,$B83,'2015 Factor % to units'!$AG:$AG)</f>
        <v>86.93680297397772</v>
      </c>
      <c r="I83" s="9">
        <f>SUMIF('2015 Factor % to units'!$B:$B,$B83,'2015 Factor % to units'!$AI:$AI)</f>
        <v>4.9395910780669201</v>
      </c>
      <c r="J83" s="1016">
        <f t="shared" si="26"/>
        <v>774.89857863381087</v>
      </c>
      <c r="K83" s="1016"/>
      <c r="L83" s="1016">
        <f t="shared" si="24"/>
        <v>205877.48052602625</v>
      </c>
      <c r="M83" s="1017"/>
      <c r="N83" s="1017">
        <f t="shared" si="25"/>
        <v>158490.29547171074</v>
      </c>
      <c r="O83" s="1018">
        <f t="shared" si="27"/>
        <v>364367.77599773696</v>
      </c>
      <c r="P83" s="1018"/>
      <c r="Q83" s="1018"/>
      <c r="S83" s="9">
        <f t="shared" si="28"/>
        <v>287.85489833641401</v>
      </c>
      <c r="T83" s="9"/>
      <c r="U83" s="9">
        <f t="shared" si="29"/>
        <v>108.67100371747163</v>
      </c>
      <c r="V83" s="9"/>
      <c r="W83" s="9">
        <f t="shared" si="30"/>
        <v>55.323420074349436</v>
      </c>
      <c r="X83" s="9"/>
      <c r="Y83" s="9">
        <f t="shared" si="31"/>
        <v>179.80111524163527</v>
      </c>
      <c r="Z83" s="30"/>
      <c r="AA83" s="11">
        <f t="shared" si="32"/>
        <v>51.371747211895908</v>
      </c>
      <c r="AB83" s="30"/>
      <c r="AC83" s="11">
        <f t="shared" si="33"/>
        <v>86.93680297397772</v>
      </c>
      <c r="AD83" s="30"/>
      <c r="AE83" s="11">
        <f t="shared" si="34"/>
        <v>4.9395910780669201</v>
      </c>
      <c r="AF83" s="30"/>
    </row>
    <row r="84" spans="1:32" x14ac:dyDescent="0.2">
      <c r="A84" s="9" t="s">
        <v>70</v>
      </c>
      <c r="B84" s="10">
        <v>4182</v>
      </c>
      <c r="C84" s="9">
        <f>SUMIF('2015 Factor % to units'!$B:$B,$B84,'2015 Factor % to units'!$H:$H)</f>
        <v>174.62235208181156</v>
      </c>
      <c r="D84" s="9">
        <f>SUMIF('2015 Factor % to units'!$B:$B,$B84,'2015 Factor % to units'!$Y:$Y)</f>
        <v>125.00000000000001</v>
      </c>
      <c r="E84" s="9">
        <f>SUMIF('2015 Factor % to units'!$B:$B,$B84,'2015 Factor % to units'!$AA:$AA)</f>
        <v>52.999999999999979</v>
      </c>
      <c r="F84" s="9">
        <f>SUMIF('2015 Factor % to units'!$B:$B,$B84,'2015 Factor % to units'!$AC:$AC)</f>
        <v>27.999999999999982</v>
      </c>
      <c r="G84" s="9">
        <f>SUMIF('2015 Factor % to units'!$B:$B,$B84,'2015 Factor % to units'!$AE:$AE)</f>
        <v>13.000000000000007</v>
      </c>
      <c r="H84" s="9">
        <f>SUMIF('2015 Factor % to units'!$B:$B,$B84,'2015 Factor % to units'!$AG:$AG)</f>
        <v>6.9999999999999956</v>
      </c>
      <c r="I84" s="9">
        <f>SUMIF('2015 Factor % to units'!$B:$B,$B84,'2015 Factor % to units'!$AI:$AI)</f>
        <v>4.0000000000000027</v>
      </c>
      <c r="J84" s="1016">
        <f t="shared" si="26"/>
        <v>404.62235208181158</v>
      </c>
      <c r="K84" s="1016"/>
      <c r="L84" s="1016">
        <f t="shared" si="24"/>
        <v>124892.12480975954</v>
      </c>
      <c r="M84" s="1017"/>
      <c r="N84" s="1017">
        <f t="shared" si="25"/>
        <v>42428.332766515501</v>
      </c>
      <c r="O84" s="1018">
        <f t="shared" si="27"/>
        <v>167320.45757627505</v>
      </c>
      <c r="P84" s="1018"/>
      <c r="Q84" s="1018"/>
      <c r="S84" s="9">
        <f t="shared" si="28"/>
        <v>174.62235208181156</v>
      </c>
      <c r="T84" s="9"/>
      <c r="U84" s="9">
        <f t="shared" si="29"/>
        <v>125.00000000000001</v>
      </c>
      <c r="V84" s="9"/>
      <c r="W84" s="9">
        <f t="shared" si="30"/>
        <v>52.999999999999979</v>
      </c>
      <c r="X84" s="9"/>
      <c r="Y84" s="9">
        <f t="shared" si="31"/>
        <v>27.999999999999982</v>
      </c>
      <c r="Z84" s="30"/>
      <c r="AA84" s="11">
        <f t="shared" si="32"/>
        <v>13.000000000000007</v>
      </c>
      <c r="AB84" s="30"/>
      <c r="AC84" s="11">
        <f t="shared" si="33"/>
        <v>6.9999999999999956</v>
      </c>
      <c r="AD84" s="30"/>
      <c r="AE84" s="11">
        <f t="shared" si="34"/>
        <v>4.0000000000000027</v>
      </c>
      <c r="AF84" s="30"/>
    </row>
    <row r="85" spans="1:32" x14ac:dyDescent="0.2">
      <c r="A85" s="9" t="s">
        <v>71</v>
      </c>
      <c r="B85" s="1020">
        <v>4001</v>
      </c>
      <c r="C85" s="9">
        <f>SUMIF('2015 Factor % to units'!$B:$B,$B85,'2015 Factor % to units'!$H:$H)</f>
        <v>468.73282442748086</v>
      </c>
      <c r="D85" s="9">
        <f>SUMIF('2015 Factor % to units'!$B:$B,$B85,'2015 Factor % to units'!$Y:$Y)</f>
        <v>28.154057771664352</v>
      </c>
      <c r="E85" s="9">
        <f>SUMIF('2015 Factor % to units'!$B:$B,$B85,'2015 Factor % to units'!$AA:$AA)</f>
        <v>31.170563961485577</v>
      </c>
      <c r="F85" s="9">
        <f>SUMIF('2015 Factor % to units'!$B:$B,$B85,'2015 Factor % to units'!$AC:$AC)</f>
        <v>73.40165061898243</v>
      </c>
      <c r="G85" s="9">
        <f>SUMIF('2015 Factor % to units'!$B:$B,$B85,'2015 Factor % to units'!$AE:$AE)</f>
        <v>203.11141678129283</v>
      </c>
      <c r="H85" s="9">
        <f>SUMIF('2015 Factor % to units'!$B:$B,$B85,'2015 Factor % to units'!$AG:$AG)</f>
        <v>133.73177441540557</v>
      </c>
      <c r="I85" s="9">
        <f>SUMIF('2015 Factor % to units'!$B:$B,$B85,'2015 Factor % to units'!$AI:$AI)</f>
        <v>184.00687757909225</v>
      </c>
      <c r="J85" s="1016">
        <f t="shared" si="26"/>
        <v>1122.309165555404</v>
      </c>
      <c r="K85" s="1016"/>
      <c r="L85" s="1016">
        <f t="shared" si="24"/>
        <v>335243.67134512786</v>
      </c>
      <c r="M85" s="1017"/>
      <c r="N85" s="1017">
        <f t="shared" si="25"/>
        <v>341869.70180796261</v>
      </c>
      <c r="O85" s="1018">
        <f t="shared" si="27"/>
        <v>677113.37315309048</v>
      </c>
      <c r="P85" s="1018"/>
      <c r="Q85" s="1018"/>
      <c r="S85" s="9">
        <f t="shared" si="28"/>
        <v>468.73282442748086</v>
      </c>
      <c r="T85" s="9"/>
      <c r="U85" s="9">
        <f t="shared" si="29"/>
        <v>28.154057771664352</v>
      </c>
      <c r="V85" s="9"/>
      <c r="W85" s="9">
        <f t="shared" si="30"/>
        <v>31.170563961485577</v>
      </c>
      <c r="X85" s="9"/>
      <c r="Y85" s="9">
        <f t="shared" si="31"/>
        <v>73.40165061898243</v>
      </c>
      <c r="Z85" s="30"/>
      <c r="AA85" s="11">
        <f t="shared" si="32"/>
        <v>203.11141678129283</v>
      </c>
      <c r="AB85" s="30"/>
      <c r="AC85" s="11">
        <f t="shared" si="33"/>
        <v>133.73177441540557</v>
      </c>
      <c r="AD85" s="30"/>
      <c r="AE85" s="11">
        <f t="shared" si="34"/>
        <v>184.00687757909225</v>
      </c>
      <c r="AF85" s="30"/>
    </row>
    <row r="86" spans="1:32" x14ac:dyDescent="0.2">
      <c r="A86" s="9" t="s">
        <v>112</v>
      </c>
      <c r="B86" s="10">
        <v>5406</v>
      </c>
      <c r="C86" s="9">
        <f>SUMIF('2015 Factor % to units'!$B:$B,$B86,'2015 Factor % to units'!$H:$H)</f>
        <v>308.47447795823666</v>
      </c>
      <c r="D86" s="9">
        <f>SUMIF('2015 Factor % to units'!$B:$B,$B86,'2015 Factor % to units'!$Y:$Y)</f>
        <v>94.330985915493315</v>
      </c>
      <c r="E86" s="9">
        <f>SUMIF('2015 Factor % to units'!$B:$B,$B86,'2015 Factor % to units'!$AA:$AA)</f>
        <v>136.47887323943669</v>
      </c>
      <c r="F86" s="9">
        <f>SUMIF('2015 Factor % to units'!$B:$B,$B86,'2015 Factor % to units'!$AC:$AC)</f>
        <v>215.75704225352149</v>
      </c>
      <c r="G86" s="9">
        <f>SUMIF('2015 Factor % to units'!$B:$B,$B86,'2015 Factor % to units'!$AE:$AE)</f>
        <v>46.161971830985919</v>
      </c>
      <c r="H86" s="9">
        <f>SUMIF('2015 Factor % to units'!$B:$B,$B86,'2015 Factor % to units'!$AG:$AG)</f>
        <v>62.218309859154935</v>
      </c>
      <c r="I86" s="9">
        <f>SUMIF('2015 Factor % to units'!$B:$B,$B86,'2015 Factor % to units'!$AI:$AI)</f>
        <v>13.045774647887312</v>
      </c>
      <c r="J86" s="1016">
        <f t="shared" si="26"/>
        <v>876.46743570471631</v>
      </c>
      <c r="K86" s="1016"/>
      <c r="L86" s="1016">
        <f t="shared" si="24"/>
        <v>220624.86584613088</v>
      </c>
      <c r="M86" s="1017"/>
      <c r="N86" s="1017">
        <f t="shared" si="25"/>
        <v>168025.54123820228</v>
      </c>
      <c r="O86" s="1018">
        <f t="shared" si="27"/>
        <v>388650.40708433313</v>
      </c>
      <c r="P86" s="1018"/>
      <c r="Q86" s="1018"/>
      <c r="S86" s="9">
        <f t="shared" si="28"/>
        <v>308.47447795823666</v>
      </c>
      <c r="T86" s="9"/>
      <c r="U86" s="9">
        <f t="shared" si="29"/>
        <v>94.330985915493315</v>
      </c>
      <c r="V86" s="9"/>
      <c r="W86" s="9">
        <f t="shared" si="30"/>
        <v>136.47887323943669</v>
      </c>
      <c r="X86" s="9"/>
      <c r="Y86" s="9">
        <f t="shared" si="31"/>
        <v>215.75704225352149</v>
      </c>
      <c r="Z86" s="30"/>
      <c r="AA86" s="11">
        <f t="shared" si="32"/>
        <v>46.161971830985919</v>
      </c>
      <c r="AB86" s="30"/>
      <c r="AC86" s="11">
        <f t="shared" si="33"/>
        <v>62.218309859154935</v>
      </c>
      <c r="AD86" s="30"/>
      <c r="AE86" s="11">
        <f t="shared" si="34"/>
        <v>13.045774647887312</v>
      </c>
      <c r="AF86" s="30"/>
    </row>
    <row r="87" spans="1:32" x14ac:dyDescent="0.2">
      <c r="A87" s="9" t="s">
        <v>113</v>
      </c>
      <c r="B87" s="10">
        <v>5407</v>
      </c>
      <c r="C87" s="9">
        <f>SUMIF('2015 Factor % to units'!$B:$B,$B87,'2015 Factor % to units'!$H:$H)</f>
        <v>441.36679920477138</v>
      </c>
      <c r="D87" s="9">
        <f>SUMIF('2015 Factor % to units'!$B:$B,$B87,'2015 Factor % to units'!$Y:$Y)</f>
        <v>52.999999999999964</v>
      </c>
      <c r="E87" s="9">
        <f>SUMIF('2015 Factor % to units'!$B:$B,$B87,'2015 Factor % to units'!$AA:$AA)</f>
        <v>71.999999999999943</v>
      </c>
      <c r="F87" s="9">
        <f>SUMIF('2015 Factor % to units'!$B:$B,$B87,'2015 Factor % to units'!$AC:$AC)</f>
        <v>141.99999999999974</v>
      </c>
      <c r="G87" s="9">
        <f>SUMIF('2015 Factor % to units'!$B:$B,$B87,'2015 Factor % to units'!$AE:$AE)</f>
        <v>228.00000000000026</v>
      </c>
      <c r="H87" s="9">
        <f>SUMIF('2015 Factor % to units'!$B:$B,$B87,'2015 Factor % to units'!$AG:$AG)</f>
        <v>149.00000000000017</v>
      </c>
      <c r="I87" s="9">
        <f>SUMIF('2015 Factor % to units'!$B:$B,$B87,'2015 Factor % to units'!$AI:$AI)</f>
        <v>62.999999999999993</v>
      </c>
      <c r="J87" s="1016">
        <f t="shared" si="26"/>
        <v>1148.3667992047715</v>
      </c>
      <c r="K87" s="1016"/>
      <c r="L87" s="1016">
        <f t="shared" si="24"/>
        <v>315671.14241675567</v>
      </c>
      <c r="M87" s="1017"/>
      <c r="N87" s="1017">
        <f t="shared" si="25"/>
        <v>301367.18960864609</v>
      </c>
      <c r="O87" s="1018">
        <f t="shared" si="27"/>
        <v>617038.33202540176</v>
      </c>
      <c r="P87" s="1018"/>
      <c r="Q87" s="1018"/>
      <c r="S87" s="9">
        <f t="shared" si="28"/>
        <v>441.36679920477138</v>
      </c>
      <c r="T87" s="9"/>
      <c r="U87" s="9">
        <f t="shared" si="29"/>
        <v>52.999999999999964</v>
      </c>
      <c r="V87" s="9"/>
      <c r="W87" s="9">
        <f t="shared" si="30"/>
        <v>71.999999999999943</v>
      </c>
      <c r="X87" s="9"/>
      <c r="Y87" s="9">
        <f t="shared" si="31"/>
        <v>141.99999999999974</v>
      </c>
      <c r="Z87" s="30"/>
      <c r="AA87" s="11">
        <f t="shared" si="32"/>
        <v>228.00000000000026</v>
      </c>
      <c r="AB87" s="30"/>
      <c r="AC87" s="11">
        <f t="shared" si="33"/>
        <v>149.00000000000017</v>
      </c>
      <c r="AD87" s="30"/>
      <c r="AE87" s="11">
        <f t="shared" si="34"/>
        <v>62.999999999999993</v>
      </c>
      <c r="AF87" s="30"/>
    </row>
    <row r="88" spans="1:32" x14ac:dyDescent="0.2">
      <c r="A88" s="9" t="s">
        <v>72</v>
      </c>
      <c r="B88" s="10">
        <v>4607</v>
      </c>
      <c r="C88" s="9">
        <f>SUMIF('2015 Factor % to units'!$B:$B,$B88,'2015 Factor % to units'!$H:$H)</f>
        <v>371.19305019305017</v>
      </c>
      <c r="D88" s="9">
        <f>SUMIF('2015 Factor % to units'!$B:$B,$B88,'2015 Factor % to units'!$Y:$Y)</f>
        <v>51.237931034482813</v>
      </c>
      <c r="E88" s="9">
        <f>SUMIF('2015 Factor % to units'!$B:$B,$B88,'2015 Factor % to units'!$AA:$AA)</f>
        <v>119.2267241379308</v>
      </c>
      <c r="F88" s="9">
        <f>SUMIF('2015 Factor % to units'!$B:$B,$B88,'2015 Factor % to units'!$AC:$AC)</f>
        <v>219.73189655172433</v>
      </c>
      <c r="G88" s="9">
        <f>SUMIF('2015 Factor % to units'!$B:$B,$B88,'2015 Factor % to units'!$AE:$AE)</f>
        <v>160.61120689655132</v>
      </c>
      <c r="H88" s="9">
        <f>SUMIF('2015 Factor % to units'!$B:$B,$B88,'2015 Factor % to units'!$AG:$AG)</f>
        <v>95.578448275862058</v>
      </c>
      <c r="I88" s="9">
        <f>SUMIF('2015 Factor % to units'!$B:$B,$B88,'2015 Factor % to units'!$AI:$AI)</f>
        <v>139.91896551724105</v>
      </c>
      <c r="J88" s="1016">
        <f t="shared" si="26"/>
        <v>1157.4982226068425</v>
      </c>
      <c r="K88" s="1016"/>
      <c r="L88" s="1016">
        <f t="shared" si="24"/>
        <v>265481.98555650114</v>
      </c>
      <c r="M88" s="1017"/>
      <c r="N88" s="1017">
        <f t="shared" si="25"/>
        <v>324175.1533814756</v>
      </c>
      <c r="O88" s="1018">
        <f t="shared" si="27"/>
        <v>589657.13893797668</v>
      </c>
      <c r="P88" s="1018"/>
      <c r="Q88" s="1018"/>
      <c r="S88" s="9">
        <f t="shared" si="28"/>
        <v>371.19305019305017</v>
      </c>
      <c r="T88" s="9"/>
      <c r="U88" s="9">
        <f t="shared" si="29"/>
        <v>51.237931034482813</v>
      </c>
      <c r="V88" s="9"/>
      <c r="W88" s="9">
        <f t="shared" si="30"/>
        <v>119.2267241379308</v>
      </c>
      <c r="X88" s="9"/>
      <c r="Y88" s="9">
        <f t="shared" si="31"/>
        <v>219.73189655172433</v>
      </c>
      <c r="Z88" s="30"/>
      <c r="AA88" s="11">
        <f t="shared" si="32"/>
        <v>160.61120689655132</v>
      </c>
      <c r="AB88" s="30"/>
      <c r="AC88" s="11">
        <f t="shared" si="33"/>
        <v>95.578448275862058</v>
      </c>
      <c r="AD88" s="30"/>
      <c r="AE88" s="11">
        <f t="shared" si="34"/>
        <v>139.91896551724105</v>
      </c>
      <c r="AF88" s="30"/>
    </row>
    <row r="89" spans="1:32" x14ac:dyDescent="0.2">
      <c r="A89" s="9" t="s">
        <v>1046</v>
      </c>
      <c r="B89" s="1020">
        <v>4002</v>
      </c>
      <c r="C89" s="9">
        <f>SUMIF('2015 Factor % to units'!$B:$B,$B89,'2015 Factor % to units'!$H:$H)</f>
        <v>394.14550264550263</v>
      </c>
      <c r="D89" s="9">
        <f>SUMIF('2015 Factor % to units'!$B:$B,$B89,'2015 Factor % to units'!$Y:$Y)</f>
        <v>68.528497409326391</v>
      </c>
      <c r="E89" s="9">
        <f>SUMIF('2015 Factor % to units'!$B:$B,$B89,'2015 Factor % to units'!$AA:$AA)</f>
        <v>17.132124352331576</v>
      </c>
      <c r="F89" s="9">
        <f>SUMIF('2015 Factor % to units'!$B:$B,$B89,'2015 Factor % to units'!$AC:$AC)</f>
        <v>228.76424870466317</v>
      </c>
      <c r="G89" s="9">
        <f>SUMIF('2015 Factor % to units'!$B:$B,$B89,'2015 Factor % to units'!$AE:$AE)</f>
        <v>161.24352331606241</v>
      </c>
      <c r="H89" s="9">
        <f>SUMIF('2015 Factor % to units'!$B:$B,$B89,'2015 Factor % to units'!$AG:$AG)</f>
        <v>32.248704663212401</v>
      </c>
      <c r="I89" s="9">
        <f>SUMIF('2015 Factor % to units'!$B:$B,$B89,'2015 Factor % to units'!$AI:$AI)</f>
        <v>99.769430051813544</v>
      </c>
      <c r="J89" s="1016">
        <f t="shared" si="26"/>
        <v>1001.8320311429121</v>
      </c>
      <c r="K89" s="1016"/>
      <c r="L89" s="1016">
        <f t="shared" si="24"/>
        <v>281897.87116454035</v>
      </c>
      <c r="M89" s="1017"/>
      <c r="N89" s="1017">
        <f t="shared" si="25"/>
        <v>232258.87492353522</v>
      </c>
      <c r="O89" s="1018">
        <f t="shared" si="27"/>
        <v>514156.74608807557</v>
      </c>
      <c r="P89" s="1018"/>
      <c r="Q89" s="1018"/>
      <c r="S89" s="9">
        <f t="shared" si="28"/>
        <v>394.14550264550263</v>
      </c>
      <c r="T89" s="9"/>
      <c r="U89" s="9">
        <f t="shared" si="29"/>
        <v>68.528497409326391</v>
      </c>
      <c r="V89" s="9"/>
      <c r="W89" s="9">
        <f t="shared" si="30"/>
        <v>17.132124352331576</v>
      </c>
      <c r="X89" s="9"/>
      <c r="Y89" s="9">
        <f t="shared" si="31"/>
        <v>228.76424870466317</v>
      </c>
      <c r="Z89" s="30"/>
      <c r="AA89" s="11">
        <f t="shared" si="32"/>
        <v>161.24352331606241</v>
      </c>
      <c r="AB89" s="30"/>
      <c r="AC89" s="11">
        <f t="shared" si="33"/>
        <v>32.248704663212401</v>
      </c>
      <c r="AD89" s="30"/>
      <c r="AE89" s="11">
        <f t="shared" si="34"/>
        <v>99.769430051813544</v>
      </c>
      <c r="AF89" s="30"/>
    </row>
    <row r="90" spans="1:32" x14ac:dyDescent="0.2">
      <c r="A90" s="9" t="s">
        <v>74</v>
      </c>
      <c r="B90" s="10">
        <v>5412</v>
      </c>
      <c r="C90" s="9">
        <f>SUMIF('2015 Factor % to units'!$B:$B,$B90,'2015 Factor % to units'!$H:$H)</f>
        <v>300.82917002417406</v>
      </c>
      <c r="D90" s="9">
        <f>SUMIF('2015 Factor % to units'!$B:$B,$B90,'2015 Factor % to units'!$Y:$Y)</f>
        <v>197.15684713375822</v>
      </c>
      <c r="E90" s="9">
        <f>SUMIF('2015 Factor % to units'!$B:$B,$B90,'2015 Factor % to units'!$AA:$AA)</f>
        <v>216.17197452229348</v>
      </c>
      <c r="F90" s="9">
        <f>SUMIF('2015 Factor % to units'!$B:$B,$B90,'2015 Factor % to units'!$AC:$AC)</f>
        <v>116.09235668789812</v>
      </c>
      <c r="G90" s="9">
        <f>SUMIF('2015 Factor % to units'!$B:$B,$B90,'2015 Factor % to units'!$AE:$AE)</f>
        <v>22.017515923566904</v>
      </c>
      <c r="H90" s="9">
        <f>SUMIF('2015 Factor % to units'!$B:$B,$B90,'2015 Factor % to units'!$AG:$AG)</f>
        <v>23.018312101910798</v>
      </c>
      <c r="I90" s="9">
        <f>SUMIF('2015 Factor % to units'!$B:$B,$B90,'2015 Factor % to units'!$AI:$AI)</f>
        <v>5.0039808917197419</v>
      </c>
      <c r="J90" s="1016">
        <f t="shared" si="26"/>
        <v>880.29015728532136</v>
      </c>
      <c r="K90" s="1016"/>
      <c r="L90" s="1016">
        <f t="shared" si="24"/>
        <v>215156.84447700717</v>
      </c>
      <c r="M90" s="1017"/>
      <c r="N90" s="1017">
        <f t="shared" si="25"/>
        <v>120327.84775046328</v>
      </c>
      <c r="O90" s="1018">
        <f t="shared" si="27"/>
        <v>335484.69222747046</v>
      </c>
      <c r="P90" s="1018"/>
      <c r="Q90" s="1018"/>
      <c r="S90" s="9">
        <f t="shared" si="28"/>
        <v>300.82917002417406</v>
      </c>
      <c r="T90" s="9"/>
      <c r="U90" s="9">
        <f t="shared" si="29"/>
        <v>197.15684713375822</v>
      </c>
      <c r="V90" s="9"/>
      <c r="W90" s="9">
        <f t="shared" si="30"/>
        <v>216.17197452229348</v>
      </c>
      <c r="X90" s="9"/>
      <c r="Y90" s="9">
        <f t="shared" si="31"/>
        <v>116.09235668789812</v>
      </c>
      <c r="Z90" s="30"/>
      <c r="AA90" s="11">
        <f t="shared" si="32"/>
        <v>22.017515923566904</v>
      </c>
      <c r="AB90" s="30"/>
      <c r="AC90" s="11">
        <f t="shared" si="33"/>
        <v>23.018312101910798</v>
      </c>
      <c r="AD90" s="30"/>
      <c r="AE90" s="11">
        <f t="shared" si="34"/>
        <v>5.0039808917197419</v>
      </c>
      <c r="AF90" s="30"/>
    </row>
    <row r="91" spans="1:32" x14ac:dyDescent="0.2">
      <c r="A91" s="9" t="s">
        <v>73</v>
      </c>
      <c r="B91" s="10">
        <v>5414</v>
      </c>
      <c r="C91" s="9">
        <f>SUMIF('2015 Factor % to units'!$B:$B,$B91,'2015 Factor % to units'!$H:$H)</f>
        <v>199.05166586190245</v>
      </c>
      <c r="D91" s="9">
        <f>SUMIF('2015 Factor % to units'!$B:$B,$B91,'2015 Factor % to units'!$Y:$Y)</f>
        <v>40.494307400379562</v>
      </c>
      <c r="E91" s="9">
        <f>SUMIF('2015 Factor % to units'!$B:$B,$B91,'2015 Factor % to units'!$AA:$AA)</f>
        <v>92.84060721062616</v>
      </c>
      <c r="F91" s="9">
        <f>SUMIF('2015 Factor % to units'!$B:$B,$B91,'2015 Factor % to units'!$AC:$AC)</f>
        <v>108.64326375711619</v>
      </c>
      <c r="G91" s="9">
        <f>SUMIF('2015 Factor % to units'!$B:$B,$B91,'2015 Factor % to units'!$AE:$AE)</f>
        <v>32.592979127134754</v>
      </c>
      <c r="H91" s="9">
        <f>SUMIF('2015 Factor % to units'!$B:$B,$B91,'2015 Factor % to units'!$AG:$AG)</f>
        <v>39.506641366223924</v>
      </c>
      <c r="I91" s="9">
        <f>SUMIF('2015 Factor % to units'!$B:$B,$B91,'2015 Factor % to units'!$AI:$AI)</f>
        <v>10.864326375711618</v>
      </c>
      <c r="J91" s="1016">
        <f t="shared" si="26"/>
        <v>523.99379109909466</v>
      </c>
      <c r="K91" s="1016"/>
      <c r="L91" s="1016">
        <f t="shared" si="24"/>
        <v>142364.28040305074</v>
      </c>
      <c r="M91" s="1017"/>
      <c r="N91" s="1017">
        <f t="shared" si="25"/>
        <v>101253.19977165993</v>
      </c>
      <c r="O91" s="1018">
        <f t="shared" si="27"/>
        <v>243617.48017471068</v>
      </c>
      <c r="P91" s="1018"/>
      <c r="Q91" s="1018"/>
      <c r="S91" s="9">
        <f t="shared" si="28"/>
        <v>199.05166586190245</v>
      </c>
      <c r="T91" s="9"/>
      <c r="U91" s="9">
        <f t="shared" si="29"/>
        <v>40.494307400379562</v>
      </c>
      <c r="V91" s="9"/>
      <c r="W91" s="9">
        <f t="shared" si="30"/>
        <v>92.84060721062616</v>
      </c>
      <c r="X91" s="9"/>
      <c r="Y91" s="9">
        <f t="shared" si="31"/>
        <v>108.64326375711619</v>
      </c>
      <c r="Z91" s="30"/>
      <c r="AA91" s="11">
        <f t="shared" si="32"/>
        <v>32.592979127134754</v>
      </c>
      <c r="AB91" s="30"/>
      <c r="AC91" s="11">
        <f t="shared" si="33"/>
        <v>39.506641366223924</v>
      </c>
      <c r="AD91" s="30"/>
      <c r="AE91" s="11">
        <f t="shared" si="34"/>
        <v>10.864326375711618</v>
      </c>
      <c r="AF91" s="30"/>
    </row>
    <row r="92" spans="1:32" x14ac:dyDescent="0.2">
      <c r="A92" s="9" t="s">
        <v>912</v>
      </c>
      <c r="B92" s="10"/>
      <c r="C92" s="9">
        <f>SUMIF('2015 Factor % to units'!$B:$B,$B92,'2015 Factor % to units'!$H:$H)</f>
        <v>0</v>
      </c>
      <c r="D92" s="9">
        <f>SUMIF('2015 Factor % to units'!$B:$B,$B92,'2015 Factor % to units'!$Y:$Y)</f>
        <v>0</v>
      </c>
      <c r="E92" s="9">
        <f>SUMIF('2015 Factor % to units'!$B:$B,$B92,'2015 Factor % to units'!$AA:$AA)</f>
        <v>0</v>
      </c>
      <c r="F92" s="9">
        <f>SUMIF('2015 Factor % to units'!$B:$B,$B92,'2015 Factor % to units'!$AC:$AC)</f>
        <v>0</v>
      </c>
      <c r="G92" s="9">
        <f>SUMIF('2015 Factor % to units'!$B:$B,$B92,'2015 Factor % to units'!$AE:$AE)</f>
        <v>0</v>
      </c>
      <c r="H92" s="9">
        <f>SUMIF('2015 Factor % to units'!$B:$B,$B92,'2015 Factor % to units'!$AG:$AG)</f>
        <v>0</v>
      </c>
      <c r="I92" s="9">
        <f>SUMIF('2015 Factor % to units'!$B:$B,$B92,'2015 Factor % to units'!$AI:$AI)</f>
        <v>0</v>
      </c>
      <c r="J92" s="1016">
        <f t="shared" si="26"/>
        <v>0</v>
      </c>
      <c r="K92" s="1016"/>
      <c r="L92" s="1016">
        <f t="shared" si="24"/>
        <v>0</v>
      </c>
      <c r="M92" s="1017"/>
      <c r="N92" s="1017">
        <f t="shared" si="25"/>
        <v>0</v>
      </c>
      <c r="O92" s="1018">
        <f t="shared" si="27"/>
        <v>0</v>
      </c>
      <c r="P92" s="1018"/>
      <c r="Q92" s="1018"/>
      <c r="S92" s="9">
        <f t="shared" si="28"/>
        <v>0</v>
      </c>
      <c r="T92" s="9"/>
      <c r="U92" s="9">
        <f t="shared" si="29"/>
        <v>0</v>
      </c>
      <c r="V92" s="9"/>
      <c r="W92" s="9">
        <f t="shared" si="30"/>
        <v>0</v>
      </c>
      <c r="X92" s="9"/>
      <c r="Y92" s="9">
        <f t="shared" si="31"/>
        <v>0</v>
      </c>
      <c r="Z92" s="30"/>
      <c r="AA92" s="11">
        <f t="shared" si="32"/>
        <v>0</v>
      </c>
      <c r="AB92" s="30"/>
      <c r="AC92" s="11">
        <f t="shared" si="33"/>
        <v>0</v>
      </c>
      <c r="AD92" s="30"/>
      <c r="AE92" s="11">
        <f t="shared" si="34"/>
        <v>0</v>
      </c>
      <c r="AF92" s="30"/>
    </row>
    <row r="93" spans="1:32" x14ac:dyDescent="0.2">
      <c r="A93" s="9" t="s">
        <v>597</v>
      </c>
      <c r="B93" s="10">
        <v>6905</v>
      </c>
      <c r="C93" s="9">
        <f>SUMIF('2015 Factor % to units'!$B:$B,$B93,'2015 Factor % to units'!$H:$H)</f>
        <v>243.77790903721205</v>
      </c>
      <c r="D93" s="9">
        <f>SUMIF('2015 Factor % to units'!$B:$B,$B93,'2015 Factor % to units'!$Y:$Y)</f>
        <v>39.999999999999957</v>
      </c>
      <c r="E93" s="9">
        <f>SUMIF('2015 Factor % to units'!$B:$B,$B93,'2015 Factor % to units'!$AA:$AA)</f>
        <v>82</v>
      </c>
      <c r="F93" s="9">
        <f>SUMIF('2015 Factor % to units'!$B:$B,$B93,'2015 Factor % to units'!$AC:$AC)</f>
        <v>162.99999999999994</v>
      </c>
      <c r="G93" s="9">
        <f>SUMIF('2015 Factor % to units'!$B:$B,$B93,'2015 Factor % to units'!$AE:$AE)</f>
        <v>136.00000000000014</v>
      </c>
      <c r="H93" s="9">
        <f>SUMIF('2015 Factor % to units'!$B:$B,$B93,'2015 Factor % to units'!$AG:$AG)</f>
        <v>53.999999999999972</v>
      </c>
      <c r="I93" s="9">
        <f>SUMIF('2015 Factor % to units'!$B:$B,$B93,'2015 Factor % to units'!$AI:$AI)</f>
        <v>34.000000000000036</v>
      </c>
      <c r="J93" s="1016">
        <f t="shared" si="26"/>
        <v>752.777909037212</v>
      </c>
      <c r="K93" s="1016"/>
      <c r="L93" s="1016">
        <f t="shared" si="24"/>
        <v>174353.0577750642</v>
      </c>
      <c r="M93" s="1017"/>
      <c r="N93" s="1017">
        <f t="shared" si="25"/>
        <v>181043.02541586524</v>
      </c>
      <c r="O93" s="1018">
        <f t="shared" si="27"/>
        <v>355396.08319092944</v>
      </c>
      <c r="P93" s="1018"/>
      <c r="Q93" s="1018"/>
      <c r="S93" s="9">
        <f t="shared" ref="S93" si="35">C93</f>
        <v>243.77790903721205</v>
      </c>
      <c r="T93" s="9"/>
      <c r="U93" s="9">
        <f t="shared" ref="U93" si="36">D93</f>
        <v>39.999999999999957</v>
      </c>
      <c r="V93" s="9"/>
      <c r="W93" s="9">
        <f t="shared" ref="W93" si="37">E93</f>
        <v>82</v>
      </c>
      <c r="X93" s="9"/>
      <c r="Y93" s="9">
        <f t="shared" ref="Y93" si="38">F93</f>
        <v>162.99999999999994</v>
      </c>
      <c r="Z93" s="30"/>
      <c r="AA93" s="11">
        <f t="shared" ref="AA93" si="39">G93</f>
        <v>136.00000000000014</v>
      </c>
      <c r="AB93" s="30"/>
      <c r="AC93" s="11">
        <f t="shared" ref="AC93" si="40">H93</f>
        <v>53.999999999999972</v>
      </c>
      <c r="AD93" s="30"/>
      <c r="AE93" s="11">
        <f t="shared" ref="AE93" si="41">I93</f>
        <v>34.000000000000036</v>
      </c>
      <c r="AF93" s="30"/>
    </row>
    <row r="94" spans="1:32" x14ac:dyDescent="0.2">
      <c r="A94" s="9"/>
      <c r="B94" s="10"/>
      <c r="C94" s="30"/>
      <c r="D94" s="30"/>
      <c r="E94" s="30"/>
      <c r="F94" s="30"/>
      <c r="G94" s="30"/>
      <c r="H94" s="30"/>
      <c r="I94" s="30"/>
      <c r="J94" s="1016"/>
      <c r="K94" s="1016"/>
      <c r="L94" s="1016"/>
      <c r="M94" s="1017"/>
      <c r="N94" s="1017"/>
      <c r="R94" s="1019">
        <f>SUM(R80:R93)</f>
        <v>0</v>
      </c>
      <c r="S94" s="1019">
        <f t="shared" ref="S94:AE94" si="42">SUM(S80:S93)</f>
        <v>4242.2978609783258</v>
      </c>
      <c r="T94" s="1019">
        <f t="shared" si="42"/>
        <v>0</v>
      </c>
      <c r="U94" s="1019">
        <f t="shared" si="42"/>
        <v>940.9775707223481</v>
      </c>
      <c r="V94" s="1019">
        <f t="shared" si="42"/>
        <v>0</v>
      </c>
      <c r="W94" s="1019">
        <f t="shared" si="42"/>
        <v>1162.0147099956882</v>
      </c>
      <c r="X94" s="1019">
        <f t="shared" si="42"/>
        <v>0</v>
      </c>
      <c r="Y94" s="1019">
        <f t="shared" si="42"/>
        <v>1982.33438231832</v>
      </c>
      <c r="Z94" s="1019">
        <f t="shared" si="42"/>
        <v>0</v>
      </c>
      <c r="AA94" s="1019">
        <f t="shared" si="42"/>
        <v>1306.1035737699324</v>
      </c>
      <c r="AB94" s="1019">
        <f t="shared" si="42"/>
        <v>0</v>
      </c>
      <c r="AC94" s="1019">
        <f t="shared" si="42"/>
        <v>994.00659312514779</v>
      </c>
      <c r="AD94" s="1019">
        <f t="shared" si="42"/>
        <v>0</v>
      </c>
      <c r="AE94" s="1019">
        <f t="shared" si="42"/>
        <v>655.95466686677003</v>
      </c>
      <c r="AF94" s="30"/>
    </row>
    <row r="95" spans="1:32" x14ac:dyDescent="0.2">
      <c r="A95" s="1" t="s">
        <v>115</v>
      </c>
      <c r="B95" s="1" t="s">
        <v>115</v>
      </c>
      <c r="C95" s="29">
        <f t="shared" ref="C95:O95" si="43">SUM(C80:C93)</f>
        <v>4242.2978609783258</v>
      </c>
      <c r="D95" s="29">
        <f t="shared" si="43"/>
        <v>940.9775707223481</v>
      </c>
      <c r="E95" s="29">
        <f t="shared" si="43"/>
        <v>1162.0147099956882</v>
      </c>
      <c r="F95" s="29">
        <f t="shared" si="43"/>
        <v>1982.33438231832</v>
      </c>
      <c r="G95" s="29">
        <f t="shared" si="43"/>
        <v>1306.1035737699324</v>
      </c>
      <c r="H95" s="29">
        <f t="shared" si="43"/>
        <v>994.00659312514779</v>
      </c>
      <c r="I95" s="29">
        <f t="shared" si="43"/>
        <v>655.95466686677003</v>
      </c>
      <c r="J95" s="1019">
        <f t="shared" si="43"/>
        <v>11283.68935777653</v>
      </c>
      <c r="K95" s="1019">
        <f t="shared" si="43"/>
        <v>0</v>
      </c>
      <c r="L95" s="1019">
        <f t="shared" si="43"/>
        <v>3034145.3291457943</v>
      </c>
      <c r="M95" s="1019">
        <f t="shared" si="43"/>
        <v>0</v>
      </c>
      <c r="N95" s="1019">
        <f t="shared" si="43"/>
        <v>2577797.6879103896</v>
      </c>
      <c r="O95" s="1019">
        <f t="shared" si="43"/>
        <v>5611943.0170561848</v>
      </c>
      <c r="P95" s="1019"/>
      <c r="Q95" s="1019"/>
      <c r="S95" s="11"/>
      <c r="T95" s="11"/>
      <c r="U95" s="11"/>
      <c r="V95" s="11"/>
      <c r="W95" s="11"/>
      <c r="X95" s="11"/>
      <c r="Y95" s="11"/>
      <c r="Z95" s="11"/>
      <c r="AA95" s="30"/>
      <c r="AB95" s="30"/>
      <c r="AC95" s="30"/>
      <c r="AD95" s="30"/>
      <c r="AE95" s="30"/>
      <c r="AF95" s="30"/>
    </row>
    <row r="96" spans="1:32" x14ac:dyDescent="0.2">
      <c r="A96" s="1"/>
      <c r="B96" s="1"/>
      <c r="C96" s="29"/>
      <c r="D96" s="29"/>
      <c r="E96" s="29"/>
      <c r="F96" s="29"/>
      <c r="G96" s="29"/>
      <c r="H96" s="29"/>
      <c r="I96" s="29"/>
      <c r="J96" s="1019"/>
      <c r="K96" s="1019"/>
      <c r="L96" s="1019"/>
      <c r="M96" s="1019"/>
      <c r="N96" s="1019"/>
      <c r="O96" s="1019"/>
      <c r="P96" s="1019"/>
      <c r="Q96" s="1019"/>
      <c r="S96" s="29"/>
      <c r="T96" s="29"/>
      <c r="U96" s="29"/>
      <c r="V96" s="29"/>
      <c r="W96" s="29"/>
      <c r="X96" s="29"/>
      <c r="Y96" s="29"/>
      <c r="Z96" s="29"/>
      <c r="AA96" s="30"/>
      <c r="AB96" s="30"/>
      <c r="AC96" s="30"/>
      <c r="AD96" s="30"/>
      <c r="AE96" s="30"/>
      <c r="AF96" s="30"/>
    </row>
    <row r="97" spans="1:32" x14ac:dyDescent="0.2">
      <c r="A97" s="9" t="s">
        <v>1047</v>
      </c>
      <c r="B97" s="10">
        <v>4177</v>
      </c>
      <c r="C97" s="9">
        <f>SUMIF('2015 Factor % to units'!$B:$B,$B97,'2015 Factor % to units'!$G:$G)</f>
        <v>51.845718901453957</v>
      </c>
      <c r="D97" s="9">
        <f>SUMIF('2015 Factor % to units'!$B:$B,$B97,'2015 Factor % to units'!$X:$X)</f>
        <v>8.25</v>
      </c>
      <c r="E97" s="9">
        <f>SUMIF('2015 Factor % to units'!$B:$B,$B97,'2015 Factor % to units'!$Z:$Z)</f>
        <v>22.000000000000028</v>
      </c>
      <c r="F97" s="9">
        <f>SUMIF('2015 Factor % to units'!$B:$B,$B97,'2015 Factor % to units'!$AB:$AB)</f>
        <v>27.499999999999972</v>
      </c>
      <c r="G97" s="9">
        <f>SUMIF('2015 Factor % to units'!$B:$B,$B97,'2015 Factor % to units'!$AD:$AD)</f>
        <v>13.750000000000027</v>
      </c>
      <c r="H97" s="9">
        <f>SUMIF('2015 Factor % to units'!$B:$B,$B97,'2015 Factor % to units'!$AF:$AF)</f>
        <v>0</v>
      </c>
      <c r="I97" s="9">
        <f>SUMIF('2015 Factor % to units'!$B:$B,$B97,'2015 Factor % to units'!$AH:$AH)</f>
        <v>2.7499999999999969</v>
      </c>
      <c r="J97" s="1016">
        <f>SUM(C97:I97)</f>
        <v>126.09571890145398</v>
      </c>
      <c r="K97" s="1016">
        <f>C$2*C97</f>
        <v>48416.732316531336</v>
      </c>
      <c r="L97" s="1016"/>
      <c r="M97" s="1017">
        <f>D$2*D97+E$2*E97+F$2*F97+G$2*G97+H$2*H97+I$2*I97</f>
        <v>24861.762286889327</v>
      </c>
      <c r="N97" s="1017"/>
      <c r="O97" s="1018">
        <f t="shared" ref="O97:O98" si="44">K97+L97+M97+N97</f>
        <v>73278.494603420666</v>
      </c>
      <c r="P97" s="1019"/>
      <c r="Q97" s="1019"/>
      <c r="R97" s="9">
        <f>C97</f>
        <v>51.845718901453957</v>
      </c>
      <c r="S97" s="9"/>
      <c r="T97" s="9">
        <f>D97</f>
        <v>8.25</v>
      </c>
      <c r="U97" s="9"/>
      <c r="V97" s="9">
        <f>E97</f>
        <v>22.000000000000028</v>
      </c>
      <c r="W97" s="9"/>
      <c r="X97" s="9">
        <f>F97</f>
        <v>27.499999999999972</v>
      </c>
      <c r="Y97" s="9"/>
      <c r="Z97" s="9">
        <f t="shared" ref="Y97:Z98" si="45">G97</f>
        <v>13.750000000000027</v>
      </c>
      <c r="AA97" s="11"/>
      <c r="AB97" s="11">
        <f t="shared" ref="AA97:AB98" si="46">H97</f>
        <v>0</v>
      </c>
      <c r="AC97" s="11"/>
      <c r="AD97" s="11">
        <f t="shared" ref="AC97:AD98" si="47">I97</f>
        <v>2.7499999999999969</v>
      </c>
      <c r="AE97" s="11"/>
      <c r="AF97" s="30"/>
    </row>
    <row r="98" spans="1:32" x14ac:dyDescent="0.2">
      <c r="A98" s="9" t="s">
        <v>1048</v>
      </c>
      <c r="B98" s="10">
        <v>4177</v>
      </c>
      <c r="C98" s="9">
        <f>SUMIF('2015 Factor % to units'!$B:$B,$B98,'2015 Factor % to units'!$H:$H)</f>
        <v>387.74313408723748</v>
      </c>
      <c r="D98" s="9">
        <f>SUMIF('2015 Factor % to units'!$B:$B,$B98,'2015 Factor % to units'!$Y:$Y)</f>
        <v>11.201210287443242</v>
      </c>
      <c r="E98" s="9">
        <f>SUMIF('2015 Factor % to units'!$B:$B,$B98,'2015 Factor % to units'!$AA:$AA)</f>
        <v>106.41149773071099</v>
      </c>
      <c r="F98" s="9">
        <f>SUMIF('2015 Factor % to units'!$B:$B,$B98,'2015 Factor % to units'!$AC:$AC)</f>
        <v>193.22087745839633</v>
      </c>
      <c r="G98" s="9">
        <f>SUMIF('2015 Factor % to units'!$B:$B,$B98,'2015 Factor % to units'!$AE:$AE)</f>
        <v>154.01664145234506</v>
      </c>
      <c r="H98" s="9">
        <f>SUMIF('2015 Factor % to units'!$B:$B,$B98,'2015 Factor % to units'!$AG:$AG)</f>
        <v>62.540090771558091</v>
      </c>
      <c r="I98" s="9">
        <f>SUMIF('2015 Factor % to units'!$B:$B,$B98,'2015 Factor % to units'!$AI:$AI)</f>
        <v>46.671709531013612</v>
      </c>
      <c r="J98" s="1016">
        <f>SUM(C98:I98)</f>
        <v>961.80516131870479</v>
      </c>
      <c r="K98" s="1019"/>
      <c r="L98" s="1016">
        <f>C$3*C98</f>
        <v>277318.8158287016</v>
      </c>
      <c r="M98" s="1017"/>
      <c r="N98" s="1017">
        <f>D$3*D98+E$3*E98+F$3*F98+G$3*G98+H$3*H98+I$3*I98</f>
        <v>213925.2632786528</v>
      </c>
      <c r="O98" s="1018">
        <f t="shared" si="44"/>
        <v>491244.0791073544</v>
      </c>
      <c r="P98" s="1019"/>
      <c r="Q98" s="1019"/>
      <c r="S98" s="9">
        <f t="shared" ref="S98" si="48">C98</f>
        <v>387.74313408723748</v>
      </c>
      <c r="T98" s="9"/>
      <c r="U98" s="9">
        <f t="shared" ref="U98" si="49">D98</f>
        <v>11.201210287443242</v>
      </c>
      <c r="V98" s="9"/>
      <c r="W98" s="9">
        <f t="shared" ref="W98" si="50">E98</f>
        <v>106.41149773071099</v>
      </c>
      <c r="X98" s="9"/>
      <c r="Y98" s="9">
        <f t="shared" si="45"/>
        <v>193.22087745839633</v>
      </c>
      <c r="Z98" s="30"/>
      <c r="AA98" s="11">
        <f t="shared" si="46"/>
        <v>154.01664145234506</v>
      </c>
      <c r="AB98" s="30"/>
      <c r="AC98" s="11">
        <f t="shared" si="47"/>
        <v>62.540090771558091</v>
      </c>
      <c r="AD98" s="30"/>
      <c r="AE98" s="11">
        <f t="shared" ref="AE98" si="51">I98</f>
        <v>46.671709531013612</v>
      </c>
      <c r="AF98" s="30"/>
    </row>
    <row r="99" spans="1:32" x14ac:dyDescent="0.2">
      <c r="A99" s="1" t="s">
        <v>914</v>
      </c>
      <c r="B99" s="1" t="s">
        <v>915</v>
      </c>
      <c r="C99" s="29">
        <f>C98+C97</f>
        <v>439.58885298869143</v>
      </c>
      <c r="D99" s="29">
        <f t="shared" ref="D99:O99" si="52">D98+D97</f>
        <v>19.451210287443242</v>
      </c>
      <c r="E99" s="29">
        <f t="shared" si="52"/>
        <v>128.41149773071101</v>
      </c>
      <c r="F99" s="29">
        <f t="shared" si="52"/>
        <v>220.7208774583963</v>
      </c>
      <c r="G99" s="29">
        <f t="shared" si="52"/>
        <v>167.76664145234508</v>
      </c>
      <c r="H99" s="29">
        <f t="shared" si="52"/>
        <v>62.540090771558091</v>
      </c>
      <c r="I99" s="29">
        <f t="shared" si="52"/>
        <v>49.421709531013612</v>
      </c>
      <c r="J99" s="1019">
        <f t="shared" si="52"/>
        <v>1087.9008802201588</v>
      </c>
      <c r="K99" s="1019">
        <f t="shared" si="52"/>
        <v>48416.732316531336</v>
      </c>
      <c r="L99" s="1019">
        <f t="shared" si="52"/>
        <v>277318.8158287016</v>
      </c>
      <c r="M99" s="1019">
        <f t="shared" si="52"/>
        <v>24861.762286889327</v>
      </c>
      <c r="N99" s="1019">
        <f t="shared" si="52"/>
        <v>213925.2632786528</v>
      </c>
      <c r="O99" s="1019">
        <f t="shared" si="52"/>
        <v>564522.573710775</v>
      </c>
      <c r="R99" s="29">
        <f>SUM(R97:R98)</f>
        <v>51.845718901453957</v>
      </c>
      <c r="S99" s="29">
        <f>SUM(S97:S98)</f>
        <v>387.74313408723748</v>
      </c>
      <c r="T99" s="29">
        <f t="shared" ref="T99:AE99" si="53">SUM(T97:T98)</f>
        <v>8.25</v>
      </c>
      <c r="U99" s="29">
        <f t="shared" si="53"/>
        <v>11.201210287443242</v>
      </c>
      <c r="V99" s="29">
        <f t="shared" si="53"/>
        <v>22.000000000000028</v>
      </c>
      <c r="W99" s="29">
        <f t="shared" si="53"/>
        <v>106.41149773071099</v>
      </c>
      <c r="X99" s="29">
        <f t="shared" si="53"/>
        <v>27.499999999999972</v>
      </c>
      <c r="Y99" s="29">
        <f t="shared" si="53"/>
        <v>193.22087745839633</v>
      </c>
      <c r="Z99" s="29">
        <f t="shared" si="53"/>
        <v>13.750000000000027</v>
      </c>
      <c r="AA99" s="29">
        <f t="shared" si="53"/>
        <v>154.01664145234506</v>
      </c>
      <c r="AB99" s="29">
        <f t="shared" si="53"/>
        <v>0</v>
      </c>
      <c r="AC99" s="29">
        <f t="shared" si="53"/>
        <v>62.540090771558091</v>
      </c>
      <c r="AD99" s="29">
        <f t="shared" si="53"/>
        <v>2.7499999999999969</v>
      </c>
      <c r="AE99" s="29">
        <f t="shared" si="53"/>
        <v>46.671709531013612</v>
      </c>
      <c r="AF99" s="30"/>
    </row>
    <row r="100" spans="1:32" ht="13.5" thickBot="1" x14ac:dyDescent="0.25">
      <c r="A100" s="1"/>
      <c r="B100" s="10"/>
      <c r="C100" s="11"/>
      <c r="D100" s="11"/>
      <c r="E100" s="11"/>
      <c r="F100" s="11"/>
      <c r="G100" s="11"/>
      <c r="H100" s="11"/>
      <c r="I100" s="11"/>
      <c r="J100" s="1021"/>
      <c r="K100" s="1016"/>
      <c r="L100" s="1016"/>
      <c r="M100" s="1017"/>
      <c r="N100" s="1017"/>
      <c r="S100" s="30"/>
      <c r="T100" s="30"/>
      <c r="U100" s="30"/>
      <c r="V100" s="30"/>
      <c r="W100" s="30"/>
      <c r="X100" s="30"/>
      <c r="Y100" s="30"/>
      <c r="Z100" s="30"/>
      <c r="AA100" s="30"/>
      <c r="AB100" s="30"/>
      <c r="AC100" s="30"/>
      <c r="AD100" s="30"/>
      <c r="AE100" s="30"/>
      <c r="AF100" s="30"/>
    </row>
    <row r="101" spans="1:32" ht="16.5" thickBot="1" x14ac:dyDescent="0.25">
      <c r="A101" s="1" t="s">
        <v>116</v>
      </c>
      <c r="B101" s="172" t="s">
        <v>117</v>
      </c>
      <c r="C101" s="29">
        <f>C95+C78+C99</f>
        <v>11707.195347194851</v>
      </c>
      <c r="D101" s="29">
        <f t="shared" ref="D101:O101" si="54">D95+D78+D99</f>
        <v>2425.5077713814171</v>
      </c>
      <c r="E101" s="29">
        <f t="shared" si="54"/>
        <v>3492.4020669925731</v>
      </c>
      <c r="F101" s="29">
        <f t="shared" si="54"/>
        <v>6113.9741195991592</v>
      </c>
      <c r="G101" s="29">
        <f t="shared" si="54"/>
        <v>4366.9311606008814</v>
      </c>
      <c r="H101" s="29">
        <f t="shared" si="54"/>
        <v>2960.5244256607675</v>
      </c>
      <c r="I101" s="29">
        <f t="shared" si="54"/>
        <v>1925.052610082394</v>
      </c>
      <c r="J101" s="1019">
        <f t="shared" si="54"/>
        <v>32991.587501512055</v>
      </c>
      <c r="K101" s="1019">
        <f t="shared" si="54"/>
        <v>6609083.5480768904</v>
      </c>
      <c r="L101" s="1019">
        <f t="shared" si="54"/>
        <v>3311464.1449744957</v>
      </c>
      <c r="M101" s="1019">
        <f t="shared" si="54"/>
        <v>6384714.0825633695</v>
      </c>
      <c r="N101" s="1019">
        <f>N95+N78+N99</f>
        <v>2791722.9511890425</v>
      </c>
      <c r="O101" s="1019">
        <f t="shared" si="54"/>
        <v>19096984.726803795</v>
      </c>
      <c r="P101" s="1019">
        <f>O101</f>
        <v>19096984.726803795</v>
      </c>
      <c r="Q101" s="1019"/>
      <c r="R101" s="1135">
        <f>R99+R94+R78</f>
        <v>7077.1543521292879</v>
      </c>
      <c r="S101" s="1135">
        <f t="shared" ref="S101:AE101" si="55">S99+S94+S78</f>
        <v>4630.040995065563</v>
      </c>
      <c r="T101" s="1135">
        <f t="shared" si="55"/>
        <v>1473.3289903716257</v>
      </c>
      <c r="U101" s="1135">
        <f t="shared" si="55"/>
        <v>952.17878100979135</v>
      </c>
      <c r="V101" s="1135">
        <f t="shared" si="55"/>
        <v>2223.9758592661742</v>
      </c>
      <c r="W101" s="1135">
        <f t="shared" si="55"/>
        <v>1268.4262077263993</v>
      </c>
      <c r="X101" s="1135">
        <f t="shared" si="55"/>
        <v>3938.4188598224428</v>
      </c>
      <c r="Y101" s="1135">
        <f t="shared" si="55"/>
        <v>2175.5552597767164</v>
      </c>
      <c r="Z101" s="1135">
        <f t="shared" si="55"/>
        <v>2906.8109453786046</v>
      </c>
      <c r="AA101" s="1135">
        <f t="shared" si="55"/>
        <v>1460.1202152222775</v>
      </c>
      <c r="AB101" s="1135">
        <f t="shared" si="55"/>
        <v>1903.9777417640619</v>
      </c>
      <c r="AC101" s="1135">
        <f t="shared" si="55"/>
        <v>1056.5466838967059</v>
      </c>
      <c r="AD101" s="1135">
        <f t="shared" si="55"/>
        <v>1222.4262336846105</v>
      </c>
      <c r="AE101" s="1135">
        <f t="shared" si="55"/>
        <v>702.62637639778359</v>
      </c>
      <c r="AF101" s="30"/>
    </row>
    <row r="102" spans="1:32" x14ac:dyDescent="0.2">
      <c r="A102" s="1"/>
      <c r="C102" s="1011">
        <f>C101-C93-C92-C91-C90-C89-C88-C85-C83-C80-C68-C65-C43-C34-C17-C15</f>
        <v>8552.0650897715113</v>
      </c>
      <c r="D102" s="1011">
        <f t="shared" ref="D102:I102" si="56">D101-D93-D92-D91-D90-D89-D88-D85-D83-D80-D68-D65-D43-D34-D17-D15</f>
        <v>1819.6571901348434</v>
      </c>
      <c r="E102" s="1011">
        <f t="shared" si="56"/>
        <v>2570.9948701727162</v>
      </c>
      <c r="F102" s="1011">
        <f t="shared" si="56"/>
        <v>4744.6925772374152</v>
      </c>
      <c r="G102" s="1011">
        <f t="shared" si="56"/>
        <v>3140.5273354105502</v>
      </c>
      <c r="H102" s="1011">
        <f t="shared" si="56"/>
        <v>2310.6856448927083</v>
      </c>
      <c r="I102" s="1011">
        <f t="shared" si="56"/>
        <v>1289.2275233078667</v>
      </c>
      <c r="S102" s="30"/>
      <c r="T102" s="30"/>
      <c r="U102" s="30"/>
      <c r="V102" s="30"/>
      <c r="W102" s="30"/>
      <c r="X102" s="30"/>
      <c r="Y102" s="30"/>
      <c r="Z102" s="30"/>
      <c r="AA102" s="30"/>
      <c r="AB102" s="30"/>
      <c r="AC102" s="30"/>
      <c r="AD102" s="30"/>
      <c r="AE102" s="30"/>
      <c r="AF102" s="30"/>
    </row>
    <row r="103" spans="1:32" x14ac:dyDescent="0.2">
      <c r="B103" s="1" t="s">
        <v>1049</v>
      </c>
      <c r="C103" s="23">
        <f>'2015 Factor % to units'!G93+'2015 Factor % to units'!H93</f>
        <v>11707.195347194851</v>
      </c>
      <c r="D103" s="23">
        <f>'2015 Factor % to units'!X93+'2015 Factor % to units'!Y93</f>
        <v>2425.5077713814167</v>
      </c>
      <c r="E103" s="23">
        <f>'2015 Factor % to units'!Z93+'2015 Factor % to units'!AA93</f>
        <v>3492.4020669925735</v>
      </c>
      <c r="F103" s="23">
        <f>'2015 Factor % to units'!AB93+'2015 Factor % to units'!AC93</f>
        <v>6113.9741195991592</v>
      </c>
      <c r="G103" s="23">
        <f>'2015 Factor % to units'!AD93+'2015 Factor % to units'!AE93</f>
        <v>4366.9311606008814</v>
      </c>
      <c r="H103" s="23">
        <f>'2015 Factor % to units'!AF93+'2015 Factor % to units'!AG93</f>
        <v>2960.5244256607675</v>
      </c>
      <c r="I103" s="23">
        <f>'2015 Factor % to units'!AH93+'2015 Factor % to units'!AI93</f>
        <v>1925.052610082394</v>
      </c>
      <c r="O103" s="1009">
        <f>'2015-16 FORMULA'!D97</f>
        <v>19096984.726803795</v>
      </c>
      <c r="S103" s="30"/>
      <c r="T103" s="30"/>
      <c r="U103" s="30" t="s">
        <v>749</v>
      </c>
      <c r="V103" s="30"/>
      <c r="W103" s="30"/>
      <c r="X103" s="30"/>
      <c r="Y103" s="30"/>
      <c r="Z103" s="30"/>
      <c r="AA103" s="30"/>
      <c r="AB103" s="30"/>
      <c r="AC103" s="30"/>
      <c r="AD103" s="30"/>
      <c r="AE103" s="30"/>
      <c r="AF103" s="30"/>
    </row>
    <row r="104" spans="1:32" x14ac:dyDescent="0.2">
      <c r="B104" s="1" t="s">
        <v>934</v>
      </c>
      <c r="C104" s="23">
        <f t="shared" ref="C104:I104" si="57">C103-C101</f>
        <v>0</v>
      </c>
      <c r="D104" s="23">
        <f t="shared" si="57"/>
        <v>0</v>
      </c>
      <c r="E104" s="23">
        <f t="shared" si="57"/>
        <v>0</v>
      </c>
      <c r="F104" s="23">
        <f t="shared" si="57"/>
        <v>0</v>
      </c>
      <c r="G104" s="23">
        <f t="shared" si="57"/>
        <v>0</v>
      </c>
      <c r="H104" s="23">
        <f t="shared" si="57"/>
        <v>0</v>
      </c>
      <c r="I104" s="23">
        <f t="shared" si="57"/>
        <v>0</v>
      </c>
      <c r="O104" s="1009">
        <f>O103-O101</f>
        <v>0</v>
      </c>
      <c r="R104" t="s">
        <v>1061</v>
      </c>
      <c r="S104" t="s">
        <v>1061</v>
      </c>
      <c r="T104" s="30"/>
      <c r="U104" t="s">
        <v>1061</v>
      </c>
      <c r="V104" t="s">
        <v>1061</v>
      </c>
      <c r="W104" s="30"/>
      <c r="X104" s="30"/>
      <c r="Y104" s="30"/>
      <c r="Z104" s="30"/>
      <c r="AA104" s="30"/>
      <c r="AB104" s="30"/>
      <c r="AC104" s="30"/>
      <c r="AD104" s="30"/>
      <c r="AE104" s="30"/>
      <c r="AF104" s="30"/>
    </row>
    <row r="105" spans="1:32" x14ac:dyDescent="0.2">
      <c r="C105" s="23" t="s">
        <v>1050</v>
      </c>
      <c r="D105" s="23" t="s">
        <v>1051</v>
      </c>
      <c r="O105" s="1009" t="e">
        <f>'School Formula Budget 2015-16'!H77</f>
        <v>#N/A</v>
      </c>
      <c r="R105" t="s">
        <v>0</v>
      </c>
      <c r="S105" s="30" t="s">
        <v>1</v>
      </c>
      <c r="T105" s="30"/>
      <c r="U105" t="s">
        <v>0</v>
      </c>
      <c r="V105" s="30" t="s">
        <v>1</v>
      </c>
      <c r="W105" s="30"/>
      <c r="X105" s="30"/>
      <c r="Y105" s="30"/>
      <c r="Z105" s="30"/>
      <c r="AA105" s="30"/>
      <c r="AB105" s="30"/>
      <c r="AC105" s="30"/>
      <c r="AD105" s="30"/>
      <c r="AE105" s="30"/>
      <c r="AF105" s="30"/>
    </row>
    <row r="106" spans="1:32" x14ac:dyDescent="0.2">
      <c r="B106" s="30" t="s">
        <v>1052</v>
      </c>
      <c r="C106" s="23">
        <f>D2</f>
        <v>117.30841547807324</v>
      </c>
      <c r="D106" s="23">
        <f>D3</f>
        <v>93.126835011549474</v>
      </c>
      <c r="Q106" t="s">
        <v>632</v>
      </c>
      <c r="R106" s="1021">
        <f>R101</f>
        <v>7077.1543521292879</v>
      </c>
      <c r="S106" s="11">
        <f>S101</f>
        <v>4630.040995065563</v>
      </c>
      <c r="T106" s="30"/>
      <c r="U106" s="11">
        <f>R99</f>
        <v>51.845718901453957</v>
      </c>
      <c r="V106" s="11">
        <f>S99</f>
        <v>387.74313408723748</v>
      </c>
      <c r="W106" s="30"/>
      <c r="X106" s="30"/>
      <c r="Y106" s="30"/>
      <c r="Z106" s="30"/>
      <c r="AA106" s="30"/>
      <c r="AB106" s="30"/>
      <c r="AC106" s="30"/>
      <c r="AD106" s="30"/>
      <c r="AE106" s="30"/>
      <c r="AF106" s="30"/>
    </row>
    <row r="107" spans="1:32" x14ac:dyDescent="0.2">
      <c r="B107" s="30" t="s">
        <v>1053</v>
      </c>
      <c r="C107" s="23">
        <f>E2</f>
        <v>234.6255044064591</v>
      </c>
      <c r="D107" s="23">
        <f>E3</f>
        <v>186.68734253409619</v>
      </c>
      <c r="Q107" t="s">
        <v>1358</v>
      </c>
      <c r="R107" s="1021">
        <f>T101</f>
        <v>1473.3289903716257</v>
      </c>
      <c r="S107" s="11">
        <f>U101</f>
        <v>952.17878100979135</v>
      </c>
      <c r="T107" s="30"/>
      <c r="U107" s="11">
        <f>T99</f>
        <v>8.25</v>
      </c>
      <c r="V107" s="11">
        <f>U99</f>
        <v>11.201210287443242</v>
      </c>
      <c r="W107" s="30"/>
      <c r="X107" s="30"/>
      <c r="Y107" s="30"/>
      <c r="Z107" s="30"/>
      <c r="AA107" s="30"/>
      <c r="AB107" s="30"/>
      <c r="AC107" s="30"/>
      <c r="AD107" s="30"/>
      <c r="AE107" s="30"/>
      <c r="AF107" s="30"/>
    </row>
    <row r="108" spans="1:32" x14ac:dyDescent="0.2">
      <c r="B108" s="30" t="s">
        <v>1054</v>
      </c>
      <c r="C108" s="23">
        <f>F2</f>
        <v>352.38493930078818</v>
      </c>
      <c r="D108" s="23">
        <f>F3</f>
        <v>279.82285099586556</v>
      </c>
      <c r="Q108" t="s">
        <v>1359</v>
      </c>
      <c r="R108" s="1021">
        <f>V101</f>
        <v>2223.9758592661742</v>
      </c>
      <c r="S108" s="11">
        <f>W101</f>
        <v>1268.4262077263993</v>
      </c>
      <c r="T108" s="30"/>
      <c r="U108" s="11">
        <f>V99</f>
        <v>22.000000000000028</v>
      </c>
      <c r="V108" s="11">
        <f>W99</f>
        <v>106.41149773071099</v>
      </c>
      <c r="W108" s="30"/>
      <c r="X108" s="30"/>
      <c r="Y108" s="30"/>
      <c r="Z108" s="30"/>
      <c r="AA108" s="30"/>
      <c r="AB108" s="30"/>
      <c r="AC108" s="30"/>
      <c r="AD108" s="30"/>
      <c r="AE108" s="30"/>
      <c r="AF108" s="30"/>
    </row>
    <row r="109" spans="1:32" x14ac:dyDescent="0.2">
      <c r="B109" s="30" t="s">
        <v>1055</v>
      </c>
      <c r="C109" s="23">
        <f>G2</f>
        <v>469.69335477886142</v>
      </c>
      <c r="D109" s="23">
        <f>G3</f>
        <v>372.9496860074151</v>
      </c>
      <c r="Q109" t="s">
        <v>1360</v>
      </c>
      <c r="R109" s="1021">
        <f>X101</f>
        <v>3938.4188598224428</v>
      </c>
      <c r="S109" s="11">
        <f>Y101</f>
        <v>2175.5552597767164</v>
      </c>
      <c r="T109" s="30"/>
      <c r="U109" s="11">
        <f>X99</f>
        <v>27.499999999999972</v>
      </c>
      <c r="V109" s="11">
        <f>Y99</f>
        <v>193.22087745839633</v>
      </c>
      <c r="W109" s="30"/>
      <c r="X109" s="30"/>
      <c r="Y109" s="30"/>
      <c r="Z109" s="30"/>
      <c r="AA109" s="30"/>
      <c r="AB109" s="30"/>
      <c r="AC109" s="30"/>
      <c r="AD109" s="30"/>
      <c r="AE109" s="30"/>
      <c r="AF109" s="30"/>
    </row>
    <row r="110" spans="1:32" x14ac:dyDescent="0.2">
      <c r="B110" s="30" t="s">
        <v>1056</v>
      </c>
      <c r="C110" s="23">
        <f>H2</f>
        <v>939.39538300803542</v>
      </c>
      <c r="D110" s="23">
        <f>H3</f>
        <v>746.33304452582729</v>
      </c>
      <c r="Q110" t="s">
        <v>1361</v>
      </c>
      <c r="R110" s="1021">
        <f>Z101</f>
        <v>2906.8109453786046</v>
      </c>
      <c r="S110" s="11">
        <f>AA101</f>
        <v>1460.1202152222775</v>
      </c>
      <c r="T110" s="30"/>
      <c r="U110" s="11">
        <f>Z99</f>
        <v>13.750000000000027</v>
      </c>
      <c r="V110" s="11">
        <f>AA99</f>
        <v>154.01664145234506</v>
      </c>
      <c r="W110" s="30"/>
      <c r="X110" s="30"/>
      <c r="Y110" s="30"/>
      <c r="Z110" s="30"/>
      <c r="AA110" s="30"/>
      <c r="AB110" s="30"/>
      <c r="AC110" s="30"/>
      <c r="AD110" s="30"/>
      <c r="AE110" s="30"/>
      <c r="AF110" s="30"/>
    </row>
    <row r="111" spans="1:32" x14ac:dyDescent="0.2">
      <c r="B111" s="30" t="s">
        <v>1057</v>
      </c>
      <c r="C111" s="23">
        <f>I2</f>
        <v>939.39538300803542</v>
      </c>
      <c r="D111" s="23">
        <f>I3</f>
        <v>746.33304452582729</v>
      </c>
      <c r="Q111" t="s">
        <v>1362</v>
      </c>
      <c r="R111" s="1021">
        <f>AB101</f>
        <v>1903.9777417640619</v>
      </c>
      <c r="S111" s="11">
        <f>AC101</f>
        <v>1056.5466838967059</v>
      </c>
      <c r="T111" s="30"/>
      <c r="U111" s="11">
        <f>AB99</f>
        <v>0</v>
      </c>
      <c r="V111" s="11">
        <f>AC99</f>
        <v>62.540090771558091</v>
      </c>
      <c r="W111" s="30"/>
      <c r="X111" s="30"/>
      <c r="Y111" s="30"/>
      <c r="Z111" s="30"/>
      <c r="AA111" s="30"/>
      <c r="AB111" s="30"/>
      <c r="AC111" s="30"/>
      <c r="AD111" s="30"/>
      <c r="AE111" s="30"/>
      <c r="AF111" s="30"/>
    </row>
    <row r="112" spans="1:32" x14ac:dyDescent="0.2">
      <c r="Q112" t="s">
        <v>1363</v>
      </c>
      <c r="R112" s="1021">
        <f>AD101</f>
        <v>1222.4262336846105</v>
      </c>
      <c r="S112" s="11">
        <f>AE101</f>
        <v>702.62637639778359</v>
      </c>
      <c r="T112" s="30"/>
      <c r="U112" s="11">
        <f>AD99</f>
        <v>2.7499999999999969</v>
      </c>
      <c r="V112" s="11">
        <f>AE99</f>
        <v>46.671709531013612</v>
      </c>
      <c r="W112" s="30"/>
      <c r="X112" s="30"/>
      <c r="Y112" s="30"/>
      <c r="Z112" s="30"/>
      <c r="AA112" s="30"/>
      <c r="AB112" s="30"/>
      <c r="AC112" s="30"/>
      <c r="AD112" s="30"/>
      <c r="AE112" s="30"/>
      <c r="AF112" s="30"/>
    </row>
    <row r="113" spans="1:32" x14ac:dyDescent="0.2">
      <c r="R113" s="1021">
        <f>SUM(R106:R112)</f>
        <v>20746.092982416809</v>
      </c>
      <c r="S113" s="1021">
        <f>SUM(S106:S112)</f>
        <v>12245.494519095239</v>
      </c>
      <c r="T113" s="30"/>
      <c r="U113" s="30"/>
      <c r="V113" s="30"/>
      <c r="W113" s="30"/>
      <c r="X113" s="30"/>
      <c r="Y113" s="30"/>
      <c r="Z113" s="30"/>
      <c r="AA113" s="30"/>
      <c r="AB113" s="30"/>
      <c r="AC113" s="30"/>
      <c r="AD113" s="30"/>
      <c r="AE113" s="30"/>
      <c r="AF113" s="30"/>
    </row>
    <row r="114" spans="1:32" x14ac:dyDescent="0.2">
      <c r="B114" s="30">
        <v>1</v>
      </c>
      <c r="C114" s="23">
        <v>2</v>
      </c>
      <c r="D114" s="30">
        <v>3</v>
      </c>
      <c r="E114" s="23">
        <v>4</v>
      </c>
      <c r="F114" s="30">
        <v>5</v>
      </c>
      <c r="G114" s="23">
        <v>6</v>
      </c>
      <c r="H114" s="30">
        <v>7</v>
      </c>
      <c r="I114" s="23">
        <v>8</v>
      </c>
      <c r="J114" s="30">
        <v>9</v>
      </c>
      <c r="K114" s="23">
        <v>10</v>
      </c>
      <c r="L114" s="30">
        <v>11</v>
      </c>
      <c r="M114" s="23">
        <v>12</v>
      </c>
      <c r="N114" s="30">
        <v>13</v>
      </c>
      <c r="O114" s="23">
        <v>14</v>
      </c>
      <c r="P114" s="30">
        <v>15</v>
      </c>
      <c r="Q114" s="23">
        <v>16</v>
      </c>
      <c r="R114" s="30">
        <v>17</v>
      </c>
      <c r="S114" s="23">
        <v>18</v>
      </c>
      <c r="T114" s="30">
        <v>19</v>
      </c>
      <c r="U114" s="23">
        <v>20</v>
      </c>
      <c r="V114" s="30">
        <v>21</v>
      </c>
      <c r="W114" s="23">
        <v>22</v>
      </c>
      <c r="X114" s="30">
        <v>23</v>
      </c>
      <c r="Y114" s="23">
        <v>24</v>
      </c>
      <c r="Z114" s="30">
        <v>25</v>
      </c>
      <c r="AA114" s="23">
        <v>26</v>
      </c>
      <c r="AB114" s="30">
        <v>27</v>
      </c>
      <c r="AC114" s="23">
        <v>28</v>
      </c>
      <c r="AD114" s="30">
        <v>29</v>
      </c>
      <c r="AE114" s="23">
        <v>30</v>
      </c>
      <c r="AF114" s="30"/>
    </row>
    <row r="115" spans="1:32" x14ac:dyDescent="0.2">
      <c r="S115" s="30"/>
      <c r="T115" s="30"/>
      <c r="U115" s="30"/>
      <c r="V115" s="30"/>
      <c r="W115" s="30"/>
      <c r="X115" s="30"/>
      <c r="Y115" s="30"/>
      <c r="Z115" s="30"/>
      <c r="AA115" s="30"/>
      <c r="AB115" s="30"/>
      <c r="AC115" s="30"/>
      <c r="AD115" s="30"/>
      <c r="AE115" s="30"/>
      <c r="AF115" s="30"/>
    </row>
    <row r="116" spans="1:32" x14ac:dyDescent="0.2">
      <c r="S116" s="30"/>
      <c r="T116" s="30"/>
      <c r="U116" s="30"/>
      <c r="V116" s="30"/>
      <c r="W116" s="30"/>
      <c r="X116" s="30"/>
      <c r="Y116" s="30"/>
      <c r="Z116" s="30"/>
      <c r="AA116" s="30"/>
      <c r="AB116" s="30"/>
      <c r="AC116" s="30"/>
      <c r="AD116" s="30"/>
      <c r="AE116" s="30"/>
      <c r="AF116" s="30"/>
    </row>
    <row r="117" spans="1:32" x14ac:dyDescent="0.2">
      <c r="S117" s="30"/>
      <c r="T117" s="30"/>
      <c r="U117" s="30"/>
      <c r="V117" s="30"/>
      <c r="W117" s="30"/>
      <c r="X117" s="30"/>
      <c r="Y117" s="30"/>
      <c r="Z117" s="30"/>
      <c r="AA117" s="30"/>
      <c r="AB117" s="30"/>
      <c r="AC117" s="30"/>
      <c r="AD117" s="30"/>
      <c r="AE117" s="30"/>
      <c r="AF117" s="30"/>
    </row>
    <row r="118" spans="1:32" x14ac:dyDescent="0.2">
      <c r="A118" s="79" t="s">
        <v>249</v>
      </c>
      <c r="B118" s="79">
        <v>206189</v>
      </c>
      <c r="S118" s="30"/>
      <c r="T118" s="30"/>
      <c r="U118" s="30"/>
      <c r="V118" s="30"/>
      <c r="W118" s="30"/>
      <c r="X118" s="30"/>
      <c r="Y118" s="30"/>
      <c r="Z118" s="30"/>
      <c r="AA118" s="30"/>
      <c r="AB118" s="30"/>
      <c r="AC118" s="30"/>
      <c r="AD118" s="30"/>
      <c r="AE118" s="30"/>
      <c r="AF118" s="30"/>
    </row>
    <row r="119" spans="1:32" x14ac:dyDescent="0.2">
      <c r="A119" s="1158" t="s">
        <v>10</v>
      </c>
      <c r="B119" s="94">
        <v>2012</v>
      </c>
      <c r="S119" s="30"/>
      <c r="T119" s="30"/>
      <c r="U119" s="30"/>
      <c r="V119" s="30"/>
      <c r="W119" s="30"/>
      <c r="X119" s="30"/>
      <c r="Y119" s="30"/>
      <c r="Z119" s="30"/>
      <c r="AA119" s="30"/>
      <c r="AB119" s="30"/>
      <c r="AC119" s="30"/>
      <c r="AD119" s="30"/>
      <c r="AE119" s="30"/>
      <c r="AF119" s="30"/>
    </row>
    <row r="120" spans="1:32" x14ac:dyDescent="0.2">
      <c r="A120" s="1158" t="s">
        <v>73</v>
      </c>
      <c r="B120" s="94">
        <v>5414</v>
      </c>
      <c r="S120" s="30"/>
      <c r="T120" s="30"/>
      <c r="U120" s="30"/>
      <c r="V120" s="30"/>
      <c r="W120" s="30"/>
      <c r="X120" s="30"/>
      <c r="Y120" s="30"/>
      <c r="Z120" s="30"/>
      <c r="AA120" s="30"/>
      <c r="AB120" s="30"/>
      <c r="AC120" s="30"/>
      <c r="AD120" s="30"/>
      <c r="AE120" s="30"/>
      <c r="AF120" s="30"/>
    </row>
    <row r="121" spans="1:32" x14ac:dyDescent="0.2">
      <c r="A121" s="1158" t="s">
        <v>912</v>
      </c>
      <c r="B121" s="94">
        <v>4000</v>
      </c>
      <c r="S121" s="30"/>
      <c r="T121" s="30"/>
      <c r="U121" s="30"/>
      <c r="V121" s="30"/>
      <c r="W121" s="30"/>
      <c r="X121" s="30"/>
      <c r="Y121" s="30"/>
      <c r="Z121" s="30"/>
      <c r="AA121" s="30"/>
      <c r="AB121" s="30"/>
      <c r="AC121" s="30"/>
      <c r="AD121" s="30"/>
      <c r="AE121" s="30"/>
      <c r="AF121" s="30"/>
    </row>
    <row r="122" spans="1:32" x14ac:dyDescent="0.2">
      <c r="A122" s="79" t="s">
        <v>11</v>
      </c>
      <c r="B122" s="79">
        <v>2443</v>
      </c>
      <c r="S122" s="30"/>
      <c r="T122" s="30"/>
      <c r="U122" s="30"/>
      <c r="V122" s="30"/>
      <c r="W122" s="30"/>
      <c r="X122" s="30"/>
      <c r="Y122" s="30"/>
      <c r="Z122" s="30"/>
      <c r="AA122" s="30"/>
      <c r="AB122" s="30"/>
      <c r="AC122" s="30"/>
      <c r="AD122" s="30"/>
      <c r="AE122" s="30"/>
      <c r="AF122" s="30"/>
    </row>
    <row r="123" spans="1:32" x14ac:dyDescent="0.2">
      <c r="A123" s="1158" t="s">
        <v>94</v>
      </c>
      <c r="B123" s="94">
        <v>2442</v>
      </c>
    </row>
    <row r="124" spans="1:32" x14ac:dyDescent="0.2">
      <c r="A124" s="80" t="s">
        <v>252</v>
      </c>
      <c r="B124" s="80" t="s">
        <v>253</v>
      </c>
    </row>
    <row r="125" spans="1:32" x14ac:dyDescent="0.2">
      <c r="A125" s="79" t="s">
        <v>13</v>
      </c>
      <c r="B125" s="79">
        <v>2629</v>
      </c>
    </row>
    <row r="126" spans="1:32" x14ac:dyDescent="0.2">
      <c r="A126" s="1158" t="s">
        <v>14</v>
      </c>
      <c r="B126" s="94">
        <v>2509</v>
      </c>
    </row>
    <row r="127" spans="1:32" x14ac:dyDescent="0.2">
      <c r="A127" s="79" t="s">
        <v>2</v>
      </c>
      <c r="B127" s="79">
        <v>1014</v>
      </c>
    </row>
    <row r="128" spans="1:32" x14ac:dyDescent="0.2">
      <c r="A128" s="1158" t="s">
        <v>15</v>
      </c>
      <c r="B128" s="94">
        <v>2005</v>
      </c>
    </row>
    <row r="129" spans="1:2" x14ac:dyDescent="0.2">
      <c r="A129" s="79" t="s">
        <v>16</v>
      </c>
      <c r="B129" s="79">
        <v>2464</v>
      </c>
    </row>
    <row r="130" spans="1:2" x14ac:dyDescent="0.2">
      <c r="A130" s="661" t="s">
        <v>763</v>
      </c>
      <c r="B130" s="697" t="s">
        <v>765</v>
      </c>
    </row>
    <row r="131" spans="1:2" x14ac:dyDescent="0.2">
      <c r="A131" s="79" t="s">
        <v>17</v>
      </c>
      <c r="B131" s="79">
        <v>2004</v>
      </c>
    </row>
    <row r="132" spans="1:2" x14ac:dyDescent="0.2">
      <c r="A132" s="79" t="s">
        <v>18</v>
      </c>
      <c r="B132" s="79">
        <v>2405</v>
      </c>
    </row>
    <row r="133" spans="1:2" x14ac:dyDescent="0.2">
      <c r="A133" s="79" t="s">
        <v>254</v>
      </c>
      <c r="B133" s="79" t="s">
        <v>256</v>
      </c>
    </row>
    <row r="134" spans="1:2" ht="15" x14ac:dyDescent="0.25">
      <c r="A134" s="1160" t="s">
        <v>261</v>
      </c>
      <c r="B134" s="1162" t="s">
        <v>766</v>
      </c>
    </row>
    <row r="135" spans="1:2" x14ac:dyDescent="0.2">
      <c r="A135" s="1163" t="s">
        <v>257</v>
      </c>
      <c r="B135" s="1164" t="s">
        <v>258</v>
      </c>
    </row>
    <row r="136" spans="1:2" x14ac:dyDescent="0.2">
      <c r="A136" s="1160" t="s">
        <v>259</v>
      </c>
      <c r="B136" s="1165" t="s">
        <v>260</v>
      </c>
    </row>
    <row r="137" spans="1:2" x14ac:dyDescent="0.2">
      <c r="A137" s="79" t="s">
        <v>19</v>
      </c>
      <c r="B137" s="79">
        <v>2011</v>
      </c>
    </row>
    <row r="138" spans="1:2" x14ac:dyDescent="0.2">
      <c r="A138" s="80" t="s">
        <v>262</v>
      </c>
      <c r="B138" s="80" t="s">
        <v>263</v>
      </c>
    </row>
    <row r="139" spans="1:2" x14ac:dyDescent="0.2">
      <c r="A139" s="79" t="s">
        <v>20</v>
      </c>
      <c r="B139" s="79">
        <v>5201</v>
      </c>
    </row>
    <row r="140" spans="1:2" x14ac:dyDescent="0.2">
      <c r="A140" s="79" t="s">
        <v>264</v>
      </c>
      <c r="B140" s="79">
        <v>206124</v>
      </c>
    </row>
    <row r="141" spans="1:2" x14ac:dyDescent="0.2">
      <c r="A141" s="79" t="s">
        <v>21</v>
      </c>
      <c r="B141" s="79">
        <v>2433</v>
      </c>
    </row>
    <row r="142" spans="1:2" x14ac:dyDescent="0.2">
      <c r="A142" s="1158" t="s">
        <v>22</v>
      </c>
      <c r="B142" s="94">
        <v>2432</v>
      </c>
    </row>
    <row r="143" spans="1:2" x14ac:dyDescent="0.2">
      <c r="A143" s="79" t="s">
        <v>267</v>
      </c>
      <c r="B143" s="79" t="s">
        <v>269</v>
      </c>
    </row>
    <row r="144" spans="1:2" x14ac:dyDescent="0.2">
      <c r="A144" s="79" t="s">
        <v>199</v>
      </c>
      <c r="B144" s="79">
        <v>2447</v>
      </c>
    </row>
    <row r="145" spans="1:2" x14ac:dyDescent="0.2">
      <c r="A145" s="79" t="s">
        <v>23</v>
      </c>
      <c r="B145" s="79">
        <v>2512</v>
      </c>
    </row>
    <row r="146" spans="1:2" x14ac:dyDescent="0.2">
      <c r="A146" s="79" t="s">
        <v>270</v>
      </c>
      <c r="B146" s="79">
        <v>206126</v>
      </c>
    </row>
    <row r="147" spans="1:2" x14ac:dyDescent="0.2">
      <c r="A147" s="79" t="s">
        <v>272</v>
      </c>
      <c r="B147" s="79">
        <v>206111</v>
      </c>
    </row>
    <row r="148" spans="1:2" x14ac:dyDescent="0.2">
      <c r="A148" s="79" t="s">
        <v>274</v>
      </c>
      <c r="B148" s="79">
        <v>206091</v>
      </c>
    </row>
    <row r="149" spans="1:2" x14ac:dyDescent="0.2">
      <c r="A149" s="79" t="s">
        <v>24</v>
      </c>
      <c r="B149" s="79">
        <v>2456</v>
      </c>
    </row>
    <row r="150" spans="1:2" x14ac:dyDescent="0.2">
      <c r="A150" s="79" t="s">
        <v>3</v>
      </c>
      <c r="B150" s="79">
        <v>1017</v>
      </c>
    </row>
    <row r="151" spans="1:2" x14ac:dyDescent="0.2">
      <c r="A151" s="79" t="s">
        <v>25</v>
      </c>
      <c r="B151" s="79">
        <v>2449</v>
      </c>
    </row>
    <row r="152" spans="1:2" x14ac:dyDescent="0.2">
      <c r="A152" s="1158" t="s">
        <v>26</v>
      </c>
      <c r="B152" s="79">
        <v>2448</v>
      </c>
    </row>
    <row r="153" spans="1:2" x14ac:dyDescent="0.2">
      <c r="A153" s="79" t="s">
        <v>4</v>
      </c>
      <c r="B153" s="79">
        <v>1006</v>
      </c>
    </row>
    <row r="154" spans="1:2" x14ac:dyDescent="0.2">
      <c r="A154" s="79" t="s">
        <v>27</v>
      </c>
      <c r="B154" s="79">
        <v>2467</v>
      </c>
    </row>
    <row r="155" spans="1:2" x14ac:dyDescent="0.2">
      <c r="A155" s="1158" t="s">
        <v>75</v>
      </c>
      <c r="B155" s="94">
        <v>5402</v>
      </c>
    </row>
    <row r="156" spans="1:2" x14ac:dyDescent="0.2">
      <c r="A156" s="1158" t="s">
        <v>28</v>
      </c>
      <c r="B156" s="94">
        <v>2455</v>
      </c>
    </row>
    <row r="157" spans="1:2" x14ac:dyDescent="0.2">
      <c r="A157" s="1158" t="s">
        <v>29</v>
      </c>
      <c r="B157" s="94">
        <v>5203</v>
      </c>
    </row>
    <row r="158" spans="1:2" x14ac:dyDescent="0.2">
      <c r="A158" s="107" t="s">
        <v>30</v>
      </c>
      <c r="B158" s="79">
        <v>2451</v>
      </c>
    </row>
    <row r="159" spans="1:2" x14ac:dyDescent="0.2">
      <c r="A159" s="80" t="s">
        <v>276</v>
      </c>
      <c r="B159" s="80" t="s">
        <v>277</v>
      </c>
    </row>
    <row r="160" spans="1:2" x14ac:dyDescent="0.2">
      <c r="A160" s="79" t="s">
        <v>278</v>
      </c>
      <c r="B160" s="79">
        <v>206128</v>
      </c>
    </row>
    <row r="161" spans="1:2" x14ac:dyDescent="0.2">
      <c r="A161" s="1158" t="s">
        <v>452</v>
      </c>
      <c r="B161" s="94">
        <v>4002</v>
      </c>
    </row>
    <row r="162" spans="1:2" x14ac:dyDescent="0.2">
      <c r="A162" s="456" t="s">
        <v>455</v>
      </c>
      <c r="B162" s="79">
        <v>2430</v>
      </c>
    </row>
    <row r="163" spans="1:2" x14ac:dyDescent="0.2">
      <c r="A163" s="1167" t="s">
        <v>768</v>
      </c>
      <c r="B163" s="1169" t="s">
        <v>769</v>
      </c>
    </row>
    <row r="164" spans="1:2" x14ac:dyDescent="0.2">
      <c r="A164" s="1158" t="s">
        <v>68</v>
      </c>
      <c r="B164" s="94">
        <v>4608</v>
      </c>
    </row>
    <row r="165" spans="1:2" x14ac:dyDescent="0.2">
      <c r="A165" s="1158" t="s">
        <v>31</v>
      </c>
      <c r="B165" s="94">
        <v>2409</v>
      </c>
    </row>
    <row r="166" spans="1:2" x14ac:dyDescent="0.2">
      <c r="A166" s="1170" t="s">
        <v>281</v>
      </c>
      <c r="B166" s="1168" t="s">
        <v>282</v>
      </c>
    </row>
    <row r="167" spans="1:2" x14ac:dyDescent="0.2">
      <c r="A167" s="1171" t="s">
        <v>1401</v>
      </c>
      <c r="B167" s="1173" t="s">
        <v>771</v>
      </c>
    </row>
    <row r="168" spans="1:2" x14ac:dyDescent="0.2">
      <c r="A168" s="1174" t="s">
        <v>539</v>
      </c>
      <c r="B168" s="96">
        <v>205921</v>
      </c>
    </row>
    <row r="169" spans="1:2" x14ac:dyDescent="0.2">
      <c r="A169" s="1171" t="s">
        <v>1372</v>
      </c>
      <c r="B169" s="1154" t="s">
        <v>776</v>
      </c>
    </row>
    <row r="170" spans="1:2" x14ac:dyDescent="0.2">
      <c r="A170" s="1174" t="s">
        <v>538</v>
      </c>
      <c r="B170" s="96">
        <v>205999</v>
      </c>
    </row>
    <row r="171" spans="1:2" x14ac:dyDescent="0.2">
      <c r="A171" s="96" t="s">
        <v>537</v>
      </c>
      <c r="B171" s="95" t="s">
        <v>283</v>
      </c>
    </row>
    <row r="172" spans="1:2" x14ac:dyDescent="0.2">
      <c r="A172" s="1171" t="s">
        <v>1373</v>
      </c>
      <c r="B172" s="1153">
        <v>206065</v>
      </c>
    </row>
    <row r="173" spans="1:2" x14ac:dyDescent="0.2">
      <c r="A173" s="1175" t="s">
        <v>1375</v>
      </c>
      <c r="B173" s="1154" t="s">
        <v>787</v>
      </c>
    </row>
    <row r="174" spans="1:2" x14ac:dyDescent="0.2">
      <c r="A174" s="456" t="s">
        <v>589</v>
      </c>
      <c r="B174" s="1176" t="s">
        <v>288</v>
      </c>
    </row>
    <row r="175" spans="1:2" x14ac:dyDescent="0.2">
      <c r="A175" s="1177" t="s">
        <v>540</v>
      </c>
      <c r="B175" s="96">
        <v>205922</v>
      </c>
    </row>
    <row r="176" spans="1:2" x14ac:dyDescent="0.2">
      <c r="A176" s="456" t="s">
        <v>587</v>
      </c>
      <c r="B176" s="1154" t="s">
        <v>784</v>
      </c>
    </row>
    <row r="177" spans="1:2" x14ac:dyDescent="0.2">
      <c r="A177" s="1171" t="s">
        <v>1374</v>
      </c>
      <c r="B177" s="1154" t="s">
        <v>781</v>
      </c>
    </row>
    <row r="178" spans="1:2" x14ac:dyDescent="0.2">
      <c r="A178" s="1171" t="s">
        <v>1376</v>
      </c>
      <c r="B178" s="1178">
        <v>205919</v>
      </c>
    </row>
    <row r="179" spans="1:2" x14ac:dyDescent="0.2">
      <c r="A179" s="96" t="s">
        <v>541</v>
      </c>
      <c r="B179" s="95" t="s">
        <v>287</v>
      </c>
    </row>
    <row r="180" spans="1:2" x14ac:dyDescent="0.2">
      <c r="A180" s="1171" t="s">
        <v>1377</v>
      </c>
      <c r="B180" s="1179" t="s">
        <v>791</v>
      </c>
    </row>
    <row r="181" spans="1:2" x14ac:dyDescent="0.2">
      <c r="A181" s="1171" t="s">
        <v>1378</v>
      </c>
      <c r="B181" s="1169" t="s">
        <v>793</v>
      </c>
    </row>
    <row r="182" spans="1:2" x14ac:dyDescent="0.2">
      <c r="A182" s="1180" t="s">
        <v>1380</v>
      </c>
      <c r="B182" s="1154" t="s">
        <v>796</v>
      </c>
    </row>
    <row r="183" spans="1:2" x14ac:dyDescent="0.2">
      <c r="A183" s="1181" t="s">
        <v>1379</v>
      </c>
      <c r="B183" s="697">
        <v>205849</v>
      </c>
    </row>
    <row r="184" spans="1:2" x14ac:dyDescent="0.2">
      <c r="A184" s="456" t="s">
        <v>594</v>
      </c>
      <c r="B184" s="1176" t="s">
        <v>284</v>
      </c>
    </row>
    <row r="185" spans="1:2" x14ac:dyDescent="0.2">
      <c r="A185" s="1182" t="s">
        <v>1381</v>
      </c>
      <c r="B185" s="1154" t="s">
        <v>798</v>
      </c>
    </row>
    <row r="186" spans="1:2" x14ac:dyDescent="0.2">
      <c r="A186" s="1183" t="s">
        <v>1385</v>
      </c>
      <c r="B186" s="1184">
        <v>205922</v>
      </c>
    </row>
    <row r="187" spans="1:2" x14ac:dyDescent="0.2">
      <c r="A187" s="1185" t="s">
        <v>1384</v>
      </c>
      <c r="B187" s="1179">
        <v>205881</v>
      </c>
    </row>
    <row r="188" spans="1:2" x14ac:dyDescent="0.2">
      <c r="A188" s="1186" t="s">
        <v>1382</v>
      </c>
      <c r="B188" s="1187" t="s">
        <v>801</v>
      </c>
    </row>
    <row r="189" spans="1:2" x14ac:dyDescent="0.2">
      <c r="A189" s="1174" t="s">
        <v>542</v>
      </c>
      <c r="B189" s="96" t="s">
        <v>289</v>
      </c>
    </row>
    <row r="190" spans="1:2" x14ac:dyDescent="0.2">
      <c r="A190" s="1171" t="s">
        <v>1383</v>
      </c>
      <c r="B190" s="1179" t="s">
        <v>806</v>
      </c>
    </row>
    <row r="191" spans="1:2" x14ac:dyDescent="0.2">
      <c r="A191" s="1185" t="s">
        <v>807</v>
      </c>
      <c r="B191" s="1179" t="s">
        <v>808</v>
      </c>
    </row>
    <row r="192" spans="1:2" x14ac:dyDescent="0.2">
      <c r="A192" s="1185" t="s">
        <v>1386</v>
      </c>
      <c r="B192" s="1189" t="s">
        <v>811</v>
      </c>
    </row>
    <row r="193" spans="1:2" x14ac:dyDescent="0.2">
      <c r="A193" s="1181" t="s">
        <v>543</v>
      </c>
      <c r="B193" s="96">
        <v>2</v>
      </c>
    </row>
    <row r="194" spans="1:2" x14ac:dyDescent="0.2">
      <c r="A194" s="1192" t="s">
        <v>1387</v>
      </c>
      <c r="B194" s="1150" t="s">
        <v>668</v>
      </c>
    </row>
    <row r="195" spans="1:2" x14ac:dyDescent="0.2">
      <c r="A195" s="693" t="s">
        <v>1388</v>
      </c>
      <c r="B195" s="1179" t="s">
        <v>686</v>
      </c>
    </row>
    <row r="196" spans="1:2" x14ac:dyDescent="0.2">
      <c r="A196" s="96" t="s">
        <v>544</v>
      </c>
      <c r="B196" s="1184">
        <v>205956</v>
      </c>
    </row>
    <row r="197" spans="1:2" x14ac:dyDescent="0.2">
      <c r="A197" s="702" t="s">
        <v>1389</v>
      </c>
      <c r="B197" s="1169">
        <v>260849</v>
      </c>
    </row>
    <row r="198" spans="1:2" x14ac:dyDescent="0.2">
      <c r="A198" s="693" t="s">
        <v>1390</v>
      </c>
      <c r="B198" s="1169" t="s">
        <v>818</v>
      </c>
    </row>
    <row r="199" spans="1:2" x14ac:dyDescent="0.2">
      <c r="A199" s="1193" t="s">
        <v>1391</v>
      </c>
      <c r="B199" s="1165" t="s">
        <v>291</v>
      </c>
    </row>
    <row r="200" spans="1:2" x14ac:dyDescent="0.2">
      <c r="A200" s="1145" t="s">
        <v>1392</v>
      </c>
      <c r="B200" s="1154" t="s">
        <v>821</v>
      </c>
    </row>
    <row r="201" spans="1:2" x14ac:dyDescent="0.2">
      <c r="A201" s="1142" t="s">
        <v>1394</v>
      </c>
      <c r="B201" s="1154" t="s">
        <v>825</v>
      </c>
    </row>
    <row r="202" spans="1:2" x14ac:dyDescent="0.2">
      <c r="A202" s="1142" t="s">
        <v>1393</v>
      </c>
      <c r="B202" s="1189" t="s">
        <v>823</v>
      </c>
    </row>
    <row r="203" spans="1:2" x14ac:dyDescent="0.2">
      <c r="A203" s="583" t="s">
        <v>1396</v>
      </c>
      <c r="B203" s="1154" t="s">
        <v>830</v>
      </c>
    </row>
    <row r="204" spans="1:2" x14ac:dyDescent="0.2">
      <c r="A204" s="1143" t="s">
        <v>1395</v>
      </c>
      <c r="B204" s="1154" t="s">
        <v>827</v>
      </c>
    </row>
    <row r="205" spans="1:2" x14ac:dyDescent="0.2">
      <c r="A205" s="1181" t="s">
        <v>591</v>
      </c>
      <c r="B205" s="95" t="s">
        <v>293</v>
      </c>
    </row>
    <row r="206" spans="1:2" x14ac:dyDescent="0.2">
      <c r="A206" s="1142" t="s">
        <v>1402</v>
      </c>
      <c r="B206" s="697" t="s">
        <v>833</v>
      </c>
    </row>
    <row r="207" spans="1:2" x14ac:dyDescent="0.2">
      <c r="A207" s="1142" t="s">
        <v>1403</v>
      </c>
      <c r="B207" s="1154" t="s">
        <v>835</v>
      </c>
    </row>
    <row r="208" spans="1:2" x14ac:dyDescent="0.2">
      <c r="A208" s="1174" t="s">
        <v>547</v>
      </c>
      <c r="B208" s="95" t="s">
        <v>295</v>
      </c>
    </row>
    <row r="209" spans="1:2" x14ac:dyDescent="0.2">
      <c r="A209" s="1148" t="s">
        <v>1397</v>
      </c>
      <c r="B209" s="1154">
        <v>206031</v>
      </c>
    </row>
    <row r="210" spans="1:2" x14ac:dyDescent="0.2">
      <c r="A210" s="1174" t="s">
        <v>546</v>
      </c>
      <c r="B210" s="95" t="s">
        <v>296</v>
      </c>
    </row>
    <row r="211" spans="1:2" x14ac:dyDescent="0.2">
      <c r="A211" s="96" t="s">
        <v>545</v>
      </c>
      <c r="B211" s="95" t="s">
        <v>294</v>
      </c>
    </row>
    <row r="212" spans="1:2" x14ac:dyDescent="0.2">
      <c r="A212" s="1143" t="s">
        <v>1398</v>
      </c>
      <c r="B212" s="1154" t="s">
        <v>840</v>
      </c>
    </row>
    <row r="213" spans="1:2" x14ac:dyDescent="0.2">
      <c r="A213" s="96" t="s">
        <v>1371</v>
      </c>
      <c r="B213" s="95" t="s">
        <v>298</v>
      </c>
    </row>
    <row r="214" spans="1:2" x14ac:dyDescent="0.2">
      <c r="A214" s="1143" t="s">
        <v>1407</v>
      </c>
      <c r="B214" s="1179" t="s">
        <v>844</v>
      </c>
    </row>
    <row r="215" spans="1:2" x14ac:dyDescent="0.2">
      <c r="A215" s="1181" t="s">
        <v>592</v>
      </c>
      <c r="B215" s="1184">
        <v>206043</v>
      </c>
    </row>
    <row r="216" spans="1:2" x14ac:dyDescent="0.2">
      <c r="A216" s="1177" t="s">
        <v>548</v>
      </c>
      <c r="B216" s="95" t="s">
        <v>299</v>
      </c>
    </row>
    <row r="217" spans="1:2" x14ac:dyDescent="0.2">
      <c r="A217" s="1194" t="s">
        <v>590</v>
      </c>
      <c r="B217" s="1195" t="s">
        <v>292</v>
      </c>
    </row>
    <row r="218" spans="1:2" x14ac:dyDescent="0.2">
      <c r="A218" s="1196" t="s">
        <v>593</v>
      </c>
      <c r="B218" s="1197" t="s">
        <v>297</v>
      </c>
    </row>
    <row r="219" spans="1:2" x14ac:dyDescent="0.2">
      <c r="A219" s="1143" t="s">
        <v>1406</v>
      </c>
      <c r="B219" s="1154">
        <v>206067</v>
      </c>
    </row>
    <row r="220" spans="1:2" ht="15" x14ac:dyDescent="0.2">
      <c r="A220" s="1177" t="s">
        <v>549</v>
      </c>
      <c r="B220" s="97" t="s">
        <v>300</v>
      </c>
    </row>
    <row r="221" spans="1:2" x14ac:dyDescent="0.2">
      <c r="A221" s="1190" t="s">
        <v>1400</v>
      </c>
      <c r="B221" s="1191" t="s">
        <v>290</v>
      </c>
    </row>
    <row r="222" spans="1:2" x14ac:dyDescent="0.2">
      <c r="A222" s="1198" t="s">
        <v>550</v>
      </c>
      <c r="B222" s="98" t="s">
        <v>301</v>
      </c>
    </row>
    <row r="223" spans="1:2" x14ac:dyDescent="0.2">
      <c r="A223" s="1147" t="s">
        <v>1404</v>
      </c>
      <c r="B223" s="1209" t="s">
        <v>854</v>
      </c>
    </row>
    <row r="224" spans="1:2" x14ac:dyDescent="0.2">
      <c r="A224" s="456" t="s">
        <v>595</v>
      </c>
      <c r="B224" s="1176" t="s">
        <v>285</v>
      </c>
    </row>
    <row r="225" spans="1:2" x14ac:dyDescent="0.2">
      <c r="A225" s="1147" t="s">
        <v>1405</v>
      </c>
      <c r="B225" s="1209" t="s">
        <v>856</v>
      </c>
    </row>
    <row r="226" spans="1:2" x14ac:dyDescent="0.2">
      <c r="A226" s="87" t="s">
        <v>302</v>
      </c>
      <c r="B226" s="88" t="s">
        <v>303</v>
      </c>
    </row>
    <row r="227" spans="1:2" x14ac:dyDescent="0.2">
      <c r="A227" s="79" t="s">
        <v>304</v>
      </c>
      <c r="B227" s="79" t="s">
        <v>306</v>
      </c>
    </row>
    <row r="228" spans="1:2" x14ac:dyDescent="0.2">
      <c r="A228" s="1144" t="s">
        <v>858</v>
      </c>
      <c r="B228" s="1169" t="s">
        <v>859</v>
      </c>
    </row>
    <row r="229" spans="1:2" x14ac:dyDescent="0.2">
      <c r="A229" s="1158" t="s">
        <v>111</v>
      </c>
      <c r="B229" s="94">
        <v>4178</v>
      </c>
    </row>
    <row r="230" spans="1:2" x14ac:dyDescent="0.2">
      <c r="A230" s="1158" t="s">
        <v>98</v>
      </c>
      <c r="B230" s="94">
        <v>3158</v>
      </c>
    </row>
    <row r="231" spans="1:2" x14ac:dyDescent="0.2">
      <c r="A231" s="79" t="s">
        <v>32</v>
      </c>
      <c r="B231" s="79">
        <v>2619</v>
      </c>
    </row>
    <row r="232" spans="1:2" x14ac:dyDescent="0.2">
      <c r="A232" s="1141" t="s">
        <v>860</v>
      </c>
      <c r="B232" s="1154" t="s">
        <v>861</v>
      </c>
    </row>
    <row r="233" spans="1:2" x14ac:dyDescent="0.2">
      <c r="A233" s="79" t="s">
        <v>307</v>
      </c>
      <c r="B233" s="80" t="s">
        <v>308</v>
      </c>
    </row>
    <row r="234" spans="1:2" x14ac:dyDescent="0.2">
      <c r="A234" s="79" t="s">
        <v>309</v>
      </c>
      <c r="B234" s="79">
        <v>258417</v>
      </c>
    </row>
    <row r="235" spans="1:2" x14ac:dyDescent="0.2">
      <c r="A235" s="79" t="s">
        <v>311</v>
      </c>
      <c r="B235" s="79" t="s">
        <v>313</v>
      </c>
    </row>
    <row r="236" spans="1:2" x14ac:dyDescent="0.2">
      <c r="A236" s="79" t="s">
        <v>314</v>
      </c>
      <c r="B236" s="79" t="s">
        <v>316</v>
      </c>
    </row>
    <row r="237" spans="1:2" x14ac:dyDescent="0.2">
      <c r="A237" s="79" t="s">
        <v>33</v>
      </c>
      <c r="B237" s="79">
        <v>2518</v>
      </c>
    </row>
    <row r="238" spans="1:2" x14ac:dyDescent="0.2">
      <c r="A238" s="1141" t="s">
        <v>862</v>
      </c>
      <c r="B238" s="1210" t="s">
        <v>863</v>
      </c>
    </row>
    <row r="239" spans="1:2" x14ac:dyDescent="0.2">
      <c r="A239" s="79" t="s">
        <v>317</v>
      </c>
      <c r="B239" s="79">
        <v>206106</v>
      </c>
    </row>
    <row r="240" spans="1:2" x14ac:dyDescent="0.2">
      <c r="A240" s="80" t="s">
        <v>319</v>
      </c>
      <c r="B240" s="80" t="s">
        <v>320</v>
      </c>
    </row>
    <row r="241" spans="1:2" x14ac:dyDescent="0.2">
      <c r="A241" s="1144" t="s">
        <v>864</v>
      </c>
      <c r="B241" s="1169" t="s">
        <v>865</v>
      </c>
    </row>
    <row r="242" spans="1:2" x14ac:dyDescent="0.2">
      <c r="A242" s="1158" t="s">
        <v>34</v>
      </c>
      <c r="B242" s="94">
        <v>2457</v>
      </c>
    </row>
    <row r="243" spans="1:2" x14ac:dyDescent="0.2">
      <c r="A243" s="1158" t="s">
        <v>99</v>
      </c>
      <c r="B243" s="79">
        <v>2010</v>
      </c>
    </row>
    <row r="244" spans="1:2" x14ac:dyDescent="0.2">
      <c r="A244" s="79" t="s">
        <v>35</v>
      </c>
      <c r="B244" s="79">
        <v>2002</v>
      </c>
    </row>
    <row r="245" spans="1:2" x14ac:dyDescent="0.2">
      <c r="A245" s="79" t="s">
        <v>36</v>
      </c>
      <c r="B245" s="79">
        <v>3544</v>
      </c>
    </row>
    <row r="246" spans="1:2" x14ac:dyDescent="0.2">
      <c r="A246" s="79" t="s">
        <v>5</v>
      </c>
      <c r="B246" s="79">
        <v>1008</v>
      </c>
    </row>
    <row r="247" spans="1:2" x14ac:dyDescent="0.2">
      <c r="A247" s="79" t="s">
        <v>321</v>
      </c>
      <c r="B247" s="79" t="s">
        <v>322</v>
      </c>
    </row>
    <row r="248" spans="1:2" x14ac:dyDescent="0.2">
      <c r="A248" s="79" t="s">
        <v>100</v>
      </c>
      <c r="B248" s="79">
        <v>2006</v>
      </c>
    </row>
    <row r="249" spans="1:2" x14ac:dyDescent="0.2">
      <c r="A249" s="80" t="s">
        <v>323</v>
      </c>
      <c r="B249" s="80" t="s">
        <v>324</v>
      </c>
    </row>
    <row r="250" spans="1:2" x14ac:dyDescent="0.2">
      <c r="A250" s="79" t="s">
        <v>325</v>
      </c>
      <c r="B250" s="79">
        <v>206133</v>
      </c>
    </row>
    <row r="251" spans="1:2" x14ac:dyDescent="0.2">
      <c r="A251" s="1149" t="s">
        <v>867</v>
      </c>
      <c r="B251" s="1169" t="s">
        <v>868</v>
      </c>
    </row>
    <row r="252" spans="1:2" x14ac:dyDescent="0.2">
      <c r="A252" s="79" t="s">
        <v>327</v>
      </c>
      <c r="B252" s="79" t="s">
        <v>329</v>
      </c>
    </row>
    <row r="253" spans="1:2" x14ac:dyDescent="0.2">
      <c r="A253" s="79" t="s">
        <v>330</v>
      </c>
      <c r="B253" s="79">
        <v>206134</v>
      </c>
    </row>
    <row r="254" spans="1:2" x14ac:dyDescent="0.2">
      <c r="A254" s="79" t="s">
        <v>334</v>
      </c>
      <c r="B254" s="79" t="s">
        <v>335</v>
      </c>
    </row>
    <row r="255" spans="1:2" x14ac:dyDescent="0.2">
      <c r="A255" s="1199" t="s">
        <v>332</v>
      </c>
      <c r="B255" s="1200" t="s">
        <v>333</v>
      </c>
    </row>
    <row r="256" spans="1:2" x14ac:dyDescent="0.2">
      <c r="A256" s="79" t="s">
        <v>336</v>
      </c>
      <c r="B256" s="79" t="s">
        <v>337</v>
      </c>
    </row>
    <row r="257" spans="1:2" x14ac:dyDescent="0.2">
      <c r="A257" s="79" t="s">
        <v>338</v>
      </c>
      <c r="B257" s="79">
        <v>206109</v>
      </c>
    </row>
    <row r="258" spans="1:2" x14ac:dyDescent="0.2">
      <c r="A258" s="79" t="s">
        <v>37</v>
      </c>
      <c r="B258" s="79">
        <v>2434</v>
      </c>
    </row>
    <row r="259" spans="1:2" x14ac:dyDescent="0.2">
      <c r="A259" s="1161" t="s">
        <v>597</v>
      </c>
      <c r="B259" s="147">
        <v>6905</v>
      </c>
    </row>
    <row r="260" spans="1:2" x14ac:dyDescent="0.2">
      <c r="A260" s="1158" t="s">
        <v>42</v>
      </c>
      <c r="B260" s="94">
        <v>2009</v>
      </c>
    </row>
    <row r="261" spans="1:2" x14ac:dyDescent="0.2">
      <c r="A261" s="1158" t="s">
        <v>38</v>
      </c>
      <c r="B261" s="94">
        <v>2522</v>
      </c>
    </row>
    <row r="262" spans="1:2" x14ac:dyDescent="0.2">
      <c r="A262" s="79" t="s">
        <v>340</v>
      </c>
      <c r="B262" s="79">
        <v>206110</v>
      </c>
    </row>
    <row r="263" spans="1:2" x14ac:dyDescent="0.2">
      <c r="A263" s="79" t="s">
        <v>342</v>
      </c>
      <c r="B263" s="79">
        <v>206135</v>
      </c>
    </row>
    <row r="264" spans="1:2" x14ac:dyDescent="0.2">
      <c r="A264" s="1158" t="s">
        <v>69</v>
      </c>
      <c r="B264" s="94">
        <v>4181</v>
      </c>
    </row>
    <row r="265" spans="1:2" x14ac:dyDescent="0.2">
      <c r="A265" s="79" t="s">
        <v>344</v>
      </c>
      <c r="B265" s="79">
        <v>509195</v>
      </c>
    </row>
    <row r="266" spans="1:2" x14ac:dyDescent="0.2">
      <c r="A266" s="87" t="s">
        <v>346</v>
      </c>
      <c r="B266" s="88" t="s">
        <v>347</v>
      </c>
    </row>
    <row r="267" spans="1:2" x14ac:dyDescent="0.2">
      <c r="A267" s="1201" t="s">
        <v>348</v>
      </c>
      <c r="B267" s="1202" t="s">
        <v>349</v>
      </c>
    </row>
    <row r="268" spans="1:2" x14ac:dyDescent="0.2">
      <c r="A268" s="79" t="s">
        <v>350</v>
      </c>
      <c r="B268" s="79" t="s">
        <v>352</v>
      </c>
    </row>
    <row r="269" spans="1:2" x14ac:dyDescent="0.2">
      <c r="A269" s="79" t="s">
        <v>353</v>
      </c>
      <c r="B269" s="79">
        <v>509199</v>
      </c>
    </row>
    <row r="270" spans="1:2" x14ac:dyDescent="0.2">
      <c r="A270" s="79" t="s">
        <v>355</v>
      </c>
      <c r="B270" s="79">
        <v>509197</v>
      </c>
    </row>
    <row r="271" spans="1:2" x14ac:dyDescent="0.2">
      <c r="A271" s="1151" t="s">
        <v>870</v>
      </c>
      <c r="B271" s="1211">
        <v>479383</v>
      </c>
    </row>
    <row r="272" spans="1:2" x14ac:dyDescent="0.2">
      <c r="A272" s="1170" t="s">
        <v>360</v>
      </c>
      <c r="B272" s="1168" t="s">
        <v>361</v>
      </c>
    </row>
    <row r="273" spans="1:2" x14ac:dyDescent="0.2">
      <c r="A273" s="1158" t="s">
        <v>70</v>
      </c>
      <c r="B273" s="94">
        <v>4182</v>
      </c>
    </row>
    <row r="274" spans="1:2" x14ac:dyDescent="0.2">
      <c r="A274" s="79" t="s">
        <v>357</v>
      </c>
      <c r="B274" s="79" t="s">
        <v>359</v>
      </c>
    </row>
    <row r="275" spans="1:2" x14ac:dyDescent="0.2">
      <c r="A275" s="79" t="s">
        <v>6</v>
      </c>
      <c r="B275" s="79">
        <v>1005</v>
      </c>
    </row>
    <row r="276" spans="1:2" x14ac:dyDescent="0.2">
      <c r="A276" s="489" t="s">
        <v>871</v>
      </c>
      <c r="B276" s="1179" t="s">
        <v>872</v>
      </c>
    </row>
    <row r="277" spans="1:2" x14ac:dyDescent="0.2">
      <c r="A277" s="1158" t="s">
        <v>39</v>
      </c>
      <c r="B277" s="94">
        <v>2436</v>
      </c>
    </row>
    <row r="278" spans="1:2" x14ac:dyDescent="0.2">
      <c r="A278" s="79" t="s">
        <v>362</v>
      </c>
      <c r="B278" s="79">
        <v>206117</v>
      </c>
    </row>
    <row r="279" spans="1:2" x14ac:dyDescent="0.2">
      <c r="A279" s="79" t="s">
        <v>40</v>
      </c>
      <c r="B279" s="79">
        <v>2452</v>
      </c>
    </row>
    <row r="280" spans="1:2" x14ac:dyDescent="0.2">
      <c r="A280" s="1158" t="s">
        <v>71</v>
      </c>
      <c r="B280" s="94">
        <v>4001</v>
      </c>
    </row>
    <row r="281" spans="1:2" x14ac:dyDescent="0.2">
      <c r="A281" s="79" t="s">
        <v>364</v>
      </c>
      <c r="B281" s="79">
        <v>206141</v>
      </c>
    </row>
    <row r="282" spans="1:2" x14ac:dyDescent="0.2">
      <c r="A282" s="1158" t="s">
        <v>41</v>
      </c>
      <c r="B282" s="94">
        <v>2627</v>
      </c>
    </row>
    <row r="283" spans="1:2" x14ac:dyDescent="0.2">
      <c r="A283" s="1158" t="s">
        <v>112</v>
      </c>
      <c r="B283" s="94">
        <v>5406</v>
      </c>
    </row>
    <row r="284" spans="1:2" x14ac:dyDescent="0.2">
      <c r="A284" s="1158" t="s">
        <v>113</v>
      </c>
      <c r="B284" s="94">
        <v>5407</v>
      </c>
    </row>
    <row r="285" spans="1:2" x14ac:dyDescent="0.2">
      <c r="A285" s="79" t="s">
        <v>366</v>
      </c>
      <c r="B285" s="79" t="s">
        <v>368</v>
      </c>
    </row>
    <row r="286" spans="1:2" x14ac:dyDescent="0.2">
      <c r="A286" s="79" t="s">
        <v>369</v>
      </c>
      <c r="B286" s="79">
        <v>258404</v>
      </c>
    </row>
    <row r="287" spans="1:2" x14ac:dyDescent="0.2">
      <c r="A287" s="1158" t="s">
        <v>101</v>
      </c>
      <c r="B287" s="79">
        <v>2473</v>
      </c>
    </row>
    <row r="288" spans="1:2" x14ac:dyDescent="0.2">
      <c r="A288" s="1158" t="s">
        <v>44</v>
      </c>
      <c r="B288" s="94">
        <v>2471</v>
      </c>
    </row>
    <row r="289" spans="1:2" x14ac:dyDescent="0.2">
      <c r="A289" s="79" t="s">
        <v>371</v>
      </c>
      <c r="B289" s="79">
        <v>258405</v>
      </c>
    </row>
    <row r="290" spans="1:2" x14ac:dyDescent="0.2">
      <c r="A290" s="79" t="s">
        <v>373</v>
      </c>
      <c r="B290" s="79">
        <v>258406</v>
      </c>
    </row>
    <row r="291" spans="1:2" x14ac:dyDescent="0.2">
      <c r="A291" s="79" t="s">
        <v>43</v>
      </c>
      <c r="B291" s="79">
        <v>2420</v>
      </c>
    </row>
    <row r="292" spans="1:2" x14ac:dyDescent="0.2">
      <c r="A292" s="79" t="s">
        <v>375</v>
      </c>
      <c r="B292" s="79">
        <v>206160</v>
      </c>
    </row>
    <row r="293" spans="1:2" x14ac:dyDescent="0.2">
      <c r="A293" s="79" t="s">
        <v>45</v>
      </c>
      <c r="B293" s="79">
        <v>2003</v>
      </c>
    </row>
    <row r="294" spans="1:2" x14ac:dyDescent="0.2">
      <c r="A294" s="1158" t="s">
        <v>46</v>
      </c>
      <c r="B294" s="94">
        <v>2423</v>
      </c>
    </row>
    <row r="295" spans="1:2" x14ac:dyDescent="0.2">
      <c r="A295" s="1158" t="s">
        <v>47</v>
      </c>
      <c r="B295" s="94">
        <v>2424</v>
      </c>
    </row>
    <row r="296" spans="1:2" x14ac:dyDescent="0.2">
      <c r="A296" s="79" t="s">
        <v>377</v>
      </c>
      <c r="B296" s="79" t="s">
        <v>379</v>
      </c>
    </row>
    <row r="297" spans="1:2" x14ac:dyDescent="0.2">
      <c r="A297" s="726" t="s">
        <v>873</v>
      </c>
      <c r="B297" s="1179" t="s">
        <v>874</v>
      </c>
    </row>
    <row r="298" spans="1:2" x14ac:dyDescent="0.2">
      <c r="A298" s="79" t="s">
        <v>382</v>
      </c>
      <c r="B298" s="79" t="s">
        <v>384</v>
      </c>
    </row>
    <row r="299" spans="1:2" x14ac:dyDescent="0.2">
      <c r="A299" s="79" t="s">
        <v>385</v>
      </c>
      <c r="B299" s="79">
        <v>206146</v>
      </c>
    </row>
    <row r="300" spans="1:2" x14ac:dyDescent="0.2">
      <c r="A300" s="1158" t="s">
        <v>48</v>
      </c>
      <c r="B300" s="94">
        <v>2439</v>
      </c>
    </row>
    <row r="301" spans="1:2" x14ac:dyDescent="0.2">
      <c r="A301" s="1158" t="s">
        <v>49</v>
      </c>
      <c r="B301" s="94">
        <v>2440</v>
      </c>
    </row>
    <row r="302" spans="1:2" x14ac:dyDescent="0.2">
      <c r="A302" s="80" t="s">
        <v>387</v>
      </c>
      <c r="B302" s="80" t="s">
        <v>388</v>
      </c>
    </row>
    <row r="303" spans="1:2" x14ac:dyDescent="0.2">
      <c r="A303" s="1158" t="s">
        <v>102</v>
      </c>
      <c r="B303" s="79">
        <v>2462</v>
      </c>
    </row>
    <row r="304" spans="1:2" x14ac:dyDescent="0.2">
      <c r="A304" s="1158" t="s">
        <v>50</v>
      </c>
      <c r="B304" s="94">
        <v>2463</v>
      </c>
    </row>
    <row r="305" spans="1:2" x14ac:dyDescent="0.2">
      <c r="A305" s="79" t="s">
        <v>51</v>
      </c>
      <c r="B305" s="79">
        <v>2505</v>
      </c>
    </row>
    <row r="306" spans="1:2" x14ac:dyDescent="0.2">
      <c r="A306" s="79" t="s">
        <v>52</v>
      </c>
      <c r="B306" s="79">
        <v>2000</v>
      </c>
    </row>
    <row r="307" spans="1:2" x14ac:dyDescent="0.2">
      <c r="A307" s="1158" t="s">
        <v>53</v>
      </c>
      <c r="B307" s="94">
        <v>2458</v>
      </c>
    </row>
    <row r="308" spans="1:2" x14ac:dyDescent="0.2">
      <c r="A308" s="79" t="s">
        <v>392</v>
      </c>
      <c r="B308" s="79" t="s">
        <v>394</v>
      </c>
    </row>
    <row r="309" spans="1:2" x14ac:dyDescent="0.2">
      <c r="A309" s="79" t="s">
        <v>54</v>
      </c>
      <c r="B309" s="79">
        <v>2001</v>
      </c>
    </row>
    <row r="310" spans="1:2" x14ac:dyDescent="0.2">
      <c r="A310" s="80" t="s">
        <v>395</v>
      </c>
      <c r="B310" s="80" t="s">
        <v>396</v>
      </c>
    </row>
    <row r="311" spans="1:2" x14ac:dyDescent="0.2">
      <c r="A311" s="79" t="s">
        <v>55</v>
      </c>
      <c r="B311" s="79">
        <v>2429</v>
      </c>
    </row>
    <row r="312" spans="1:2" x14ac:dyDescent="0.2">
      <c r="A312" s="79" t="s">
        <v>397</v>
      </c>
      <c r="B312" s="79">
        <v>113044</v>
      </c>
    </row>
    <row r="313" spans="1:2" x14ac:dyDescent="0.2">
      <c r="A313" s="79" t="s">
        <v>399</v>
      </c>
      <c r="B313" s="79" t="s">
        <v>401</v>
      </c>
    </row>
    <row r="314" spans="1:2" x14ac:dyDescent="0.2">
      <c r="A314" s="1158" t="s">
        <v>72</v>
      </c>
      <c r="B314" s="94">
        <v>4607</v>
      </c>
    </row>
    <row r="315" spans="1:2" x14ac:dyDescent="0.2">
      <c r="A315" s="665" t="s">
        <v>881</v>
      </c>
      <c r="B315" s="1169" t="s">
        <v>882</v>
      </c>
    </row>
    <row r="316" spans="1:2" x14ac:dyDescent="0.2">
      <c r="A316" s="726" t="s">
        <v>883</v>
      </c>
      <c r="B316" s="1154" t="s">
        <v>884</v>
      </c>
    </row>
    <row r="317" spans="1:2" x14ac:dyDescent="0.2">
      <c r="A317" s="79" t="s">
        <v>56</v>
      </c>
      <c r="B317" s="79">
        <v>2444</v>
      </c>
    </row>
    <row r="318" spans="1:2" x14ac:dyDescent="0.2">
      <c r="A318" s="1158" t="s">
        <v>57</v>
      </c>
      <c r="B318" s="94">
        <v>5209</v>
      </c>
    </row>
    <row r="319" spans="1:2" x14ac:dyDescent="0.2">
      <c r="A319" s="79" t="s">
        <v>402</v>
      </c>
      <c r="B319" s="79" t="s">
        <v>404</v>
      </c>
    </row>
    <row r="320" spans="1:2" x14ac:dyDescent="0.2">
      <c r="A320" s="79" t="s">
        <v>405</v>
      </c>
      <c r="B320" s="79" t="s">
        <v>407</v>
      </c>
    </row>
    <row r="321" spans="1:2" x14ac:dyDescent="0.2">
      <c r="A321" s="1158" t="s">
        <v>58</v>
      </c>
      <c r="B321" s="94">
        <v>2469</v>
      </c>
    </row>
    <row r="322" spans="1:2" x14ac:dyDescent="0.2">
      <c r="A322" s="79" t="s">
        <v>408</v>
      </c>
      <c r="B322" s="79" t="s">
        <v>410</v>
      </c>
    </row>
    <row r="323" spans="1:2" x14ac:dyDescent="0.2">
      <c r="A323" s="99" t="s">
        <v>411</v>
      </c>
      <c r="B323" s="99" t="s">
        <v>412</v>
      </c>
    </row>
    <row r="324" spans="1:2" x14ac:dyDescent="0.2">
      <c r="A324" s="1158" t="s">
        <v>59</v>
      </c>
      <c r="B324" s="94">
        <v>2466</v>
      </c>
    </row>
    <row r="325" spans="1:2" x14ac:dyDescent="0.2">
      <c r="A325" s="79" t="s">
        <v>60</v>
      </c>
      <c r="B325" s="79">
        <v>3543</v>
      </c>
    </row>
    <row r="326" spans="1:2" x14ac:dyDescent="0.2">
      <c r="A326" s="79" t="s">
        <v>413</v>
      </c>
      <c r="B326" s="79">
        <v>206152</v>
      </c>
    </row>
    <row r="327" spans="1:2" x14ac:dyDescent="0.2">
      <c r="A327" s="79" t="s">
        <v>415</v>
      </c>
      <c r="B327" s="79">
        <v>206153</v>
      </c>
    </row>
    <row r="328" spans="1:2" x14ac:dyDescent="0.2">
      <c r="A328" s="1158" t="s">
        <v>62</v>
      </c>
      <c r="B328" s="94">
        <v>3531</v>
      </c>
    </row>
    <row r="329" spans="1:2" x14ac:dyDescent="0.2">
      <c r="A329" s="79" t="s">
        <v>63</v>
      </c>
      <c r="B329" s="79">
        <v>3526</v>
      </c>
    </row>
    <row r="330" spans="1:2" x14ac:dyDescent="0.2">
      <c r="A330" s="1158" t="s">
        <v>104</v>
      </c>
      <c r="B330" s="94">
        <v>3535</v>
      </c>
    </row>
    <row r="331" spans="1:2" x14ac:dyDescent="0.2">
      <c r="A331" s="1203" t="s">
        <v>64</v>
      </c>
      <c r="B331" s="94">
        <v>2008</v>
      </c>
    </row>
    <row r="332" spans="1:2" x14ac:dyDescent="0.2">
      <c r="A332" s="1158" t="s">
        <v>105</v>
      </c>
      <c r="B332" s="94">
        <v>3542</v>
      </c>
    </row>
    <row r="333" spans="1:2" x14ac:dyDescent="0.2">
      <c r="A333" s="90" t="s">
        <v>417</v>
      </c>
      <c r="B333" s="79">
        <v>206154</v>
      </c>
    </row>
    <row r="334" spans="1:2" x14ac:dyDescent="0.2">
      <c r="A334" s="1158" t="s">
        <v>106</v>
      </c>
      <c r="B334" s="79">
        <v>3528</v>
      </c>
    </row>
    <row r="335" spans="1:2" x14ac:dyDescent="0.2">
      <c r="A335" s="80" t="s">
        <v>419</v>
      </c>
      <c r="B335" s="80" t="s">
        <v>420</v>
      </c>
    </row>
    <row r="336" spans="1:2" x14ac:dyDescent="0.2">
      <c r="A336" s="1158" t="s">
        <v>107</v>
      </c>
      <c r="B336" s="94">
        <v>3534</v>
      </c>
    </row>
    <row r="337" spans="1:2" x14ac:dyDescent="0.2">
      <c r="A337" s="1158" t="s">
        <v>108</v>
      </c>
      <c r="B337" s="143">
        <v>3532</v>
      </c>
    </row>
    <row r="338" spans="1:2" x14ac:dyDescent="0.2">
      <c r="A338" s="107" t="s">
        <v>7</v>
      </c>
      <c r="B338" s="79">
        <v>1010</v>
      </c>
    </row>
    <row r="339" spans="1:2" x14ac:dyDescent="0.2">
      <c r="A339" s="107" t="s">
        <v>421</v>
      </c>
      <c r="B339" s="79" t="s">
        <v>423</v>
      </c>
    </row>
    <row r="340" spans="1:2" x14ac:dyDescent="0.2">
      <c r="A340" s="1158" t="s">
        <v>114</v>
      </c>
      <c r="B340" s="94">
        <v>4177</v>
      </c>
    </row>
    <row r="341" spans="1:2" x14ac:dyDescent="0.2">
      <c r="A341" s="79" t="s">
        <v>424</v>
      </c>
      <c r="B341" s="79" t="s">
        <v>426</v>
      </c>
    </row>
    <row r="342" spans="1:2" x14ac:dyDescent="0.2">
      <c r="A342" s="79" t="s">
        <v>427</v>
      </c>
      <c r="B342" s="79">
        <v>206103</v>
      </c>
    </row>
    <row r="343" spans="1:2" x14ac:dyDescent="0.2">
      <c r="A343" s="79" t="s">
        <v>428</v>
      </c>
      <c r="B343" s="79" t="s">
        <v>430</v>
      </c>
    </row>
    <row r="344" spans="1:2" x14ac:dyDescent="0.2">
      <c r="A344" s="79" t="s">
        <v>431</v>
      </c>
      <c r="B344" s="79" t="s">
        <v>433</v>
      </c>
    </row>
    <row r="345" spans="1:2" x14ac:dyDescent="0.2">
      <c r="A345" s="79" t="s">
        <v>434</v>
      </c>
      <c r="B345" s="79">
        <v>258420</v>
      </c>
    </row>
    <row r="346" spans="1:2" x14ac:dyDescent="0.2">
      <c r="A346" s="79" t="s">
        <v>436</v>
      </c>
      <c r="B346" s="79">
        <v>258424</v>
      </c>
    </row>
    <row r="347" spans="1:2" x14ac:dyDescent="0.2">
      <c r="A347" s="79" t="s">
        <v>438</v>
      </c>
      <c r="B347" s="79" t="s">
        <v>439</v>
      </c>
    </row>
    <row r="348" spans="1:2" x14ac:dyDescent="0.2">
      <c r="A348" s="142" t="s">
        <v>65</v>
      </c>
      <c r="B348" s="79">
        <v>3546</v>
      </c>
    </row>
    <row r="349" spans="1:2" x14ac:dyDescent="0.2">
      <c r="A349" s="140" t="s">
        <v>8</v>
      </c>
      <c r="B349" s="79">
        <v>1009</v>
      </c>
    </row>
    <row r="350" spans="1:2" x14ac:dyDescent="0.2">
      <c r="A350" s="142" t="s">
        <v>66</v>
      </c>
      <c r="B350" s="79">
        <v>3530</v>
      </c>
    </row>
    <row r="351" spans="1:2" x14ac:dyDescent="0.2">
      <c r="A351" s="1158" t="s">
        <v>74</v>
      </c>
      <c r="B351" s="94">
        <v>5412</v>
      </c>
    </row>
    <row r="352" spans="1:2" ht="15" x14ac:dyDescent="0.2">
      <c r="A352" s="146" t="s">
        <v>445</v>
      </c>
      <c r="B352" s="146" t="s">
        <v>446</v>
      </c>
    </row>
    <row r="353" spans="1:2" x14ac:dyDescent="0.2">
      <c r="A353" s="140" t="s">
        <v>440</v>
      </c>
      <c r="B353" s="144" t="s">
        <v>442</v>
      </c>
    </row>
    <row r="354" spans="1:2" x14ac:dyDescent="0.2">
      <c r="A354" s="79" t="s">
        <v>9</v>
      </c>
      <c r="B354" s="140">
        <v>1015</v>
      </c>
    </row>
    <row r="355" spans="1:2" x14ac:dyDescent="0.2">
      <c r="A355" s="141" t="s">
        <v>443</v>
      </c>
      <c r="B355" s="145" t="s">
        <v>444</v>
      </c>
    </row>
    <row r="356" spans="1:2" x14ac:dyDescent="0.2">
      <c r="A356" s="142" t="s">
        <v>447</v>
      </c>
      <c r="B356" s="79">
        <v>509204</v>
      </c>
    </row>
    <row r="357" spans="1:2" x14ac:dyDescent="0.2">
      <c r="A357" s="1206" t="s">
        <v>67</v>
      </c>
      <c r="B357" s="143">
        <v>2459</v>
      </c>
    </row>
    <row r="358" spans="1:2" x14ac:dyDescent="0.2">
      <c r="A358" s="79" t="s">
        <v>96</v>
      </c>
      <c r="B358" s="79">
        <v>2007</v>
      </c>
    </row>
  </sheetData>
  <sheetProtection password="EF5C"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V352"/>
  <sheetViews>
    <sheetView workbookViewId="0">
      <pane xSplit="2" ySplit="6" topLeftCell="K7" activePane="bottomRight" state="frozen"/>
      <selection activeCell="C118" sqref="C118"/>
      <selection pane="topRight" activeCell="C118" sqref="C118"/>
      <selection pane="bottomLeft" activeCell="C118" sqref="C118"/>
      <selection pane="bottomRight" sqref="A1:P1048576"/>
    </sheetView>
  </sheetViews>
  <sheetFormatPr defaultRowHeight="12.75" x14ac:dyDescent="0.2"/>
  <cols>
    <col min="1" max="1" width="52.42578125" style="22" hidden="1" customWidth="1"/>
    <col min="2" max="2" width="17.140625" style="30" hidden="1" customWidth="1"/>
    <col min="3" max="3" width="12.7109375" style="1011" hidden="1" customWidth="1"/>
    <col min="4" max="4" width="11" style="30" hidden="1" customWidth="1"/>
    <col min="5" max="5" width="0" style="30" hidden="1" customWidth="1"/>
    <col min="6" max="6" width="11.7109375" style="30" hidden="1" customWidth="1"/>
    <col min="7" max="7" width="52.42578125" style="22" hidden="1" customWidth="1"/>
    <col min="8" max="8" width="17.140625" style="22" hidden="1" customWidth="1"/>
    <col min="9" max="9" width="12.7109375" style="1011" hidden="1" customWidth="1"/>
    <col min="10" max="10" width="11" style="22" hidden="1" customWidth="1"/>
    <col min="11" max="12" width="0" style="22" hidden="1" customWidth="1"/>
    <col min="13" max="13" width="52.42578125" style="22" hidden="1" customWidth="1"/>
    <col min="14" max="14" width="17.140625" style="22" hidden="1" customWidth="1"/>
    <col min="15" max="15" width="12.7109375" style="1011" hidden="1" customWidth="1"/>
    <col min="16" max="16" width="11" style="22" hidden="1" customWidth="1"/>
    <col min="17" max="18" width="9.140625" style="30"/>
    <col min="19" max="19" width="52.42578125" style="30" bestFit="1" customWidth="1"/>
    <col min="20" max="20" width="17.140625" style="30" bestFit="1" customWidth="1"/>
    <col min="21" max="21" width="12.7109375" style="21" customWidth="1"/>
    <col min="22" max="22" width="11" style="30" bestFit="1" customWidth="1"/>
    <col min="23" max="16384" width="9.140625" style="30"/>
  </cols>
  <sheetData>
    <row r="1" spans="1:22" ht="12.75" customHeight="1" x14ac:dyDescent="0.2">
      <c r="A1" s="24" t="s">
        <v>1038</v>
      </c>
      <c r="B1" s="1010"/>
      <c r="D1" s="1010"/>
      <c r="G1" s="24"/>
      <c r="H1" s="1335"/>
      <c r="J1" s="1010"/>
      <c r="M1" s="24"/>
      <c r="N1" s="1335"/>
      <c r="P1" s="1010"/>
      <c r="S1" s="1"/>
      <c r="T1" s="1336"/>
      <c r="U1" s="1011"/>
      <c r="V1" s="1010"/>
    </row>
    <row r="2" spans="1:22" x14ac:dyDescent="0.2">
      <c r="A2" s="24" t="s">
        <v>77</v>
      </c>
      <c r="B2" s="1010"/>
      <c r="D2" s="1010"/>
      <c r="E2" s="1337">
        <f>C5</f>
        <v>1353.2166999999999</v>
      </c>
      <c r="F2" s="1338"/>
      <c r="G2" s="24"/>
      <c r="H2" s="1335"/>
      <c r="J2" s="1010"/>
      <c r="M2" s="24"/>
      <c r="N2" s="1335"/>
      <c r="P2" s="1010"/>
      <c r="S2" s="1"/>
      <c r="T2" s="1336"/>
      <c r="U2" s="1011"/>
      <c r="V2" s="1010"/>
    </row>
    <row r="3" spans="1:22" x14ac:dyDescent="0.2">
      <c r="A3" s="24" t="s">
        <v>78</v>
      </c>
      <c r="B3" s="1010"/>
      <c r="D3" s="1010"/>
      <c r="G3" s="24"/>
      <c r="H3" s="1335"/>
      <c r="J3" s="1010"/>
      <c r="M3" s="24"/>
      <c r="N3" s="1335"/>
      <c r="P3" s="1010"/>
      <c r="S3" s="1"/>
      <c r="T3" s="1336"/>
      <c r="U3" s="1011"/>
      <c r="V3" s="1010"/>
    </row>
    <row r="4" spans="1:22" x14ac:dyDescent="0.2">
      <c r="A4" s="24" t="s">
        <v>79</v>
      </c>
      <c r="B4" s="1011" t="s">
        <v>898</v>
      </c>
      <c r="D4" s="1010"/>
      <c r="G4" s="24"/>
      <c r="H4" s="1335"/>
      <c r="J4" s="1010"/>
      <c r="M4" s="24"/>
      <c r="N4" s="1335"/>
      <c r="P4" s="1010"/>
      <c r="S4" s="1"/>
      <c r="T4" s="1336"/>
      <c r="U4" s="1011"/>
      <c r="V4" s="1010"/>
    </row>
    <row r="5" spans="1:22" x14ac:dyDescent="0.2">
      <c r="A5" s="24" t="s">
        <v>80</v>
      </c>
      <c r="B5" s="1010"/>
      <c r="C5" s="1011">
        <f>1657-303.7833</f>
        <v>1353.2166999999999</v>
      </c>
      <c r="D5" s="1010"/>
      <c r="G5" s="30"/>
      <c r="H5" s="1335"/>
      <c r="J5" s="1010"/>
      <c r="M5" s="24"/>
      <c r="N5" s="1335"/>
      <c r="P5" s="1010"/>
      <c r="S5" s="1"/>
      <c r="T5" s="1336"/>
      <c r="U5" s="1011"/>
      <c r="V5" s="1010"/>
    </row>
    <row r="6" spans="1:22" ht="51" x14ac:dyDescent="0.2">
      <c r="A6" s="1022" t="s">
        <v>118</v>
      </c>
      <c r="B6" s="6" t="s">
        <v>81</v>
      </c>
      <c r="C6" s="1023" t="s">
        <v>1059</v>
      </c>
      <c r="D6" s="8" t="s">
        <v>1060</v>
      </c>
      <c r="G6" s="30"/>
      <c r="H6" s="1024"/>
      <c r="I6" s="1023"/>
      <c r="J6" s="8"/>
      <c r="M6" s="1022"/>
      <c r="N6" s="1024"/>
      <c r="O6" s="1023"/>
      <c r="P6" s="8"/>
      <c r="S6" s="13"/>
      <c r="T6" s="6"/>
      <c r="U6" s="1023"/>
      <c r="V6" s="8"/>
    </row>
    <row r="7" spans="1:22" x14ac:dyDescent="0.2">
      <c r="A7" s="25" t="s">
        <v>10</v>
      </c>
      <c r="B7" s="10">
        <v>2012</v>
      </c>
      <c r="C7" s="1025">
        <f>SUMIF('2015 Factor % to units'!B:B,B7,'2015 Factor % to units'!BC:BC)</f>
        <v>1.0948012232415902</v>
      </c>
      <c r="D7" s="1026">
        <f>C$5*C7</f>
        <v>1481.503298470948</v>
      </c>
      <c r="G7" s="1027"/>
      <c r="H7" s="26"/>
      <c r="I7" s="1028"/>
      <c r="J7" s="1026"/>
      <c r="M7" s="25"/>
      <c r="N7" s="26"/>
      <c r="O7" s="1028"/>
      <c r="P7" s="1026"/>
      <c r="S7" s="9"/>
      <c r="T7" s="10"/>
      <c r="U7" s="31"/>
      <c r="V7" s="1026"/>
    </row>
    <row r="8" spans="1:22" x14ac:dyDescent="0.2">
      <c r="A8" s="25" t="s">
        <v>11</v>
      </c>
      <c r="B8" s="10">
        <v>2443</v>
      </c>
      <c r="C8" s="1025">
        <f>SUMIF('2015 Factor % to units'!B:B,B8,'2015 Factor % to units'!BC:BC)</f>
        <v>0.98455598455598459</v>
      </c>
      <c r="D8" s="1026">
        <f t="shared" ref="D8:D71" si="0">C$5*C8</f>
        <v>1332.3176003861004</v>
      </c>
      <c r="G8" s="1027"/>
      <c r="H8" s="26"/>
      <c r="I8" s="1028"/>
      <c r="J8" s="1026"/>
      <c r="M8" s="25"/>
      <c r="N8" s="26"/>
      <c r="O8" s="1028"/>
      <c r="P8" s="1026"/>
      <c r="S8" s="9"/>
      <c r="T8" s="10"/>
      <c r="U8" s="31"/>
      <c r="V8" s="1026"/>
    </row>
    <row r="9" spans="1:22" x14ac:dyDescent="0.2">
      <c r="A9" s="25" t="s">
        <v>94</v>
      </c>
      <c r="B9" s="10">
        <v>2442</v>
      </c>
      <c r="C9" s="1025">
        <f>SUMIF('2015 Factor % to units'!B:B,B9,'2015 Factor % to units'!BC:BC)</f>
        <v>0</v>
      </c>
      <c r="D9" s="1026">
        <f>C$5*C9</f>
        <v>0</v>
      </c>
      <c r="G9" s="1027"/>
      <c r="H9" s="26"/>
      <c r="I9" s="1028"/>
      <c r="J9" s="1026"/>
      <c r="M9" s="25"/>
      <c r="N9" s="26"/>
      <c r="O9" s="1028"/>
      <c r="P9" s="1026"/>
      <c r="S9" s="9"/>
      <c r="T9" s="10"/>
      <c r="U9" s="31"/>
      <c r="V9" s="1026"/>
    </row>
    <row r="10" spans="1:22" x14ac:dyDescent="0.2">
      <c r="A10" s="25" t="s">
        <v>13</v>
      </c>
      <c r="B10" s="10">
        <v>2629</v>
      </c>
      <c r="C10" s="1025">
        <f>SUMIF('2015 Factor % to units'!B:B,B10,'2015 Factor % to units'!BC:BC)</f>
        <v>1.0748129675810474</v>
      </c>
      <c r="D10" s="1026">
        <f t="shared" si="0"/>
        <v>1454.4548571072319</v>
      </c>
      <c r="G10" s="1027"/>
      <c r="H10" s="26"/>
      <c r="I10" s="1028"/>
      <c r="J10" s="1026"/>
      <c r="M10" s="25"/>
      <c r="N10" s="26"/>
      <c r="O10" s="1028"/>
      <c r="P10" s="1026"/>
      <c r="S10" s="9"/>
      <c r="T10" s="10"/>
      <c r="U10" s="31"/>
      <c r="V10" s="1026"/>
    </row>
    <row r="11" spans="1:22" x14ac:dyDescent="0.2">
      <c r="A11" s="25" t="s">
        <v>14</v>
      </c>
      <c r="B11" s="10">
        <v>2509</v>
      </c>
      <c r="C11" s="1025">
        <f>SUMIF('2015 Factor % to units'!B:B,B11,'2015 Factor % to units'!BC:BC)</f>
        <v>2</v>
      </c>
      <c r="D11" s="1026">
        <f t="shared" si="0"/>
        <v>2706.4333999999999</v>
      </c>
      <c r="G11" s="1027"/>
      <c r="H11" s="26"/>
      <c r="I11" s="1028"/>
      <c r="J11" s="1026"/>
      <c r="M11" s="25"/>
      <c r="N11" s="26"/>
      <c r="O11" s="1028"/>
      <c r="P11" s="1026"/>
      <c r="S11" s="9"/>
      <c r="T11" s="10"/>
      <c r="U11" s="31"/>
      <c r="V11" s="1026"/>
    </row>
    <row r="12" spans="1:22" x14ac:dyDescent="0.2">
      <c r="A12" s="25" t="s">
        <v>15</v>
      </c>
      <c r="B12" s="10">
        <v>2005</v>
      </c>
      <c r="C12" s="1025">
        <f>SUMIF('2015 Factor % to units'!B:B,B12,'2015 Factor % to units'!BC:BC)</f>
        <v>0</v>
      </c>
      <c r="D12" s="1026">
        <f t="shared" si="0"/>
        <v>0</v>
      </c>
      <c r="G12" s="1027"/>
      <c r="H12" s="26"/>
      <c r="I12" s="1028"/>
      <c r="J12" s="1026"/>
      <c r="M12" s="25"/>
      <c r="N12" s="26"/>
      <c r="O12" s="1028"/>
      <c r="P12" s="1026"/>
      <c r="S12" s="9"/>
      <c r="T12" s="10"/>
      <c r="U12" s="31"/>
      <c r="V12" s="1026"/>
    </row>
    <row r="13" spans="1:22" x14ac:dyDescent="0.2">
      <c r="A13" s="25" t="s">
        <v>16</v>
      </c>
      <c r="B13" s="10">
        <v>2464</v>
      </c>
      <c r="C13" s="1025">
        <f>SUMIF('2015 Factor % to units'!B:B,B13,'2015 Factor % to units'!BC:BC)</f>
        <v>0</v>
      </c>
      <c r="D13" s="1026">
        <f t="shared" si="0"/>
        <v>0</v>
      </c>
      <c r="G13" s="1027"/>
      <c r="H13" s="26"/>
      <c r="I13" s="1028"/>
      <c r="J13" s="1026"/>
      <c r="M13" s="25"/>
      <c r="N13" s="26"/>
      <c r="O13" s="1028"/>
      <c r="P13" s="1026"/>
      <c r="S13" s="9"/>
      <c r="T13" s="10"/>
      <c r="U13" s="31"/>
      <c r="V13" s="1026"/>
    </row>
    <row r="14" spans="1:22" x14ac:dyDescent="0.2">
      <c r="A14" s="25" t="s">
        <v>17</v>
      </c>
      <c r="B14" s="10">
        <v>2004</v>
      </c>
      <c r="C14" s="1025">
        <f>SUMIF('2015 Factor % to units'!B:B,B14,'2015 Factor % to units'!BC:BC)</f>
        <v>0</v>
      </c>
      <c r="D14" s="1026">
        <f t="shared" si="0"/>
        <v>0</v>
      </c>
      <c r="G14" s="1027"/>
      <c r="H14" s="26"/>
      <c r="I14" s="1028"/>
      <c r="J14" s="1026"/>
      <c r="M14" s="25"/>
      <c r="N14" s="26"/>
      <c r="O14" s="1028"/>
      <c r="P14" s="1026"/>
      <c r="S14" s="9"/>
      <c r="T14" s="10"/>
      <c r="U14" s="31"/>
      <c r="V14" s="1026"/>
    </row>
    <row r="15" spans="1:22" x14ac:dyDescent="0.2">
      <c r="A15" s="25" t="s">
        <v>18</v>
      </c>
      <c r="B15" s="10">
        <v>2405</v>
      </c>
      <c r="C15" s="1025">
        <f>SUMIF('2015 Factor % to units'!B:B,B15,'2015 Factor % to units'!BC:BC)</f>
        <v>0</v>
      </c>
      <c r="D15" s="1026">
        <f t="shared" si="0"/>
        <v>0</v>
      </c>
      <c r="G15" s="1027"/>
      <c r="H15" s="26"/>
      <c r="I15" s="1028"/>
      <c r="J15" s="1026"/>
      <c r="M15" s="25"/>
      <c r="N15" s="26"/>
      <c r="O15" s="1028"/>
      <c r="P15" s="1026"/>
      <c r="S15" s="9"/>
      <c r="T15" s="10"/>
      <c r="U15" s="31"/>
      <c r="V15" s="1026"/>
    </row>
    <row r="16" spans="1:22" x14ac:dyDescent="0.2">
      <c r="A16" s="25" t="s">
        <v>95</v>
      </c>
      <c r="B16" s="10">
        <v>2011</v>
      </c>
      <c r="C16" s="1025">
        <f>SUMIF('2015 Factor % to units'!B:B,B16,'2015 Factor % to units'!BC:BC)</f>
        <v>0</v>
      </c>
      <c r="D16" s="1026">
        <f t="shared" si="0"/>
        <v>0</v>
      </c>
      <c r="G16" s="1027"/>
      <c r="H16" s="26"/>
      <c r="I16" s="1028"/>
      <c r="J16" s="1026"/>
      <c r="M16" s="25"/>
      <c r="N16" s="26"/>
      <c r="O16" s="1028"/>
      <c r="P16" s="1026"/>
      <c r="S16" s="9"/>
      <c r="T16" s="10"/>
      <c r="U16" s="31"/>
      <c r="V16" s="1026"/>
    </row>
    <row r="17" spans="1:22" x14ac:dyDescent="0.2">
      <c r="A17" s="25" t="s">
        <v>20</v>
      </c>
      <c r="B17" s="10">
        <v>5201</v>
      </c>
      <c r="C17" s="1025">
        <f>SUMIF('2015 Factor % to units'!B:B,B17,'2015 Factor % to units'!BC:BC)</f>
        <v>1.0580808080808082</v>
      </c>
      <c r="D17" s="1026">
        <f t="shared" si="0"/>
        <v>1431.8126194444444</v>
      </c>
      <c r="G17" s="1027"/>
      <c r="H17" s="26"/>
      <c r="I17" s="1028"/>
      <c r="J17" s="1026"/>
      <c r="M17" s="25"/>
      <c r="N17" s="26"/>
      <c r="O17" s="1028"/>
      <c r="P17" s="1026"/>
      <c r="S17" s="9"/>
      <c r="T17" s="10"/>
      <c r="U17" s="31"/>
      <c r="V17" s="1026"/>
    </row>
    <row r="18" spans="1:22" x14ac:dyDescent="0.2">
      <c r="A18" s="25" t="s">
        <v>96</v>
      </c>
      <c r="B18" s="10">
        <v>2007</v>
      </c>
      <c r="C18" s="1025">
        <f>SUMIF('2015 Factor % to units'!B:B,B18,'2015 Factor % to units'!BC:BC)</f>
        <v>2.3030303030303032</v>
      </c>
      <c r="D18" s="1026">
        <f t="shared" si="0"/>
        <v>3116.4990666666667</v>
      </c>
      <c r="G18" s="1027"/>
      <c r="H18" s="26"/>
      <c r="I18" s="1028"/>
      <c r="J18" s="1026"/>
      <c r="M18" s="25"/>
      <c r="N18" s="26"/>
      <c r="O18" s="1028"/>
      <c r="P18" s="1026"/>
      <c r="S18" s="9"/>
      <c r="T18" s="10"/>
      <c r="U18" s="31"/>
      <c r="V18" s="1026"/>
    </row>
    <row r="19" spans="1:22" x14ac:dyDescent="0.2">
      <c r="A19" s="25" t="s">
        <v>21</v>
      </c>
      <c r="B19" s="10">
        <v>2433</v>
      </c>
      <c r="C19" s="1025">
        <f>SUMIF('2015 Factor % to units'!B:B,B19,'2015 Factor % to units'!BC:BC)</f>
        <v>0</v>
      </c>
      <c r="D19" s="1026">
        <f t="shared" si="0"/>
        <v>0</v>
      </c>
      <c r="G19" s="1027"/>
      <c r="H19" s="26"/>
      <c r="I19" s="1028"/>
      <c r="J19" s="1026"/>
      <c r="M19" s="25"/>
      <c r="N19" s="26"/>
      <c r="O19" s="1028"/>
      <c r="P19" s="1026"/>
      <c r="S19" s="9"/>
      <c r="T19" s="10"/>
      <c r="U19" s="31"/>
      <c r="V19" s="1026"/>
    </row>
    <row r="20" spans="1:22" x14ac:dyDescent="0.2">
      <c r="A20" s="25" t="s">
        <v>22</v>
      </c>
      <c r="B20" s="10">
        <v>2432</v>
      </c>
      <c r="C20" s="1025">
        <f>SUMIF('2015 Factor % to units'!B:B,B20,'2015 Factor % to units'!BC:BC)</f>
        <v>0.85416666666666663</v>
      </c>
      <c r="D20" s="1026">
        <f t="shared" si="0"/>
        <v>1155.8725979166666</v>
      </c>
      <c r="G20" s="1027"/>
      <c r="H20" s="26"/>
      <c r="I20" s="1028"/>
      <c r="J20" s="1026"/>
      <c r="M20" s="25"/>
      <c r="N20" s="26"/>
      <c r="O20" s="1028"/>
      <c r="P20" s="1026"/>
      <c r="S20" s="9"/>
      <c r="T20" s="10"/>
      <c r="U20" s="31"/>
      <c r="V20" s="1026"/>
    </row>
    <row r="21" spans="1:22" x14ac:dyDescent="0.2">
      <c r="A21" s="25" t="s">
        <v>1028</v>
      </c>
      <c r="B21" s="10">
        <v>2447</v>
      </c>
      <c r="C21" s="1025">
        <f>SUMIF('2015 Factor % to units'!B:B,B21,'2015 Factor % to units'!BC:BC)</f>
        <v>1.8539823008849556</v>
      </c>
      <c r="D21" s="1026">
        <f t="shared" si="0"/>
        <v>2508.8398110619464</v>
      </c>
      <c r="F21" s="11"/>
      <c r="G21" s="1027"/>
      <c r="H21" s="26"/>
      <c r="I21" s="1028"/>
      <c r="J21" s="1026"/>
      <c r="M21" s="25"/>
      <c r="N21" s="26"/>
      <c r="O21" s="1028"/>
      <c r="P21" s="1026"/>
      <c r="S21" s="9"/>
      <c r="T21" s="10"/>
      <c r="U21" s="31"/>
      <c r="V21" s="1026"/>
    </row>
    <row r="22" spans="1:22" x14ac:dyDescent="0.2">
      <c r="A22" s="25" t="s">
        <v>23</v>
      </c>
      <c r="B22" s="10">
        <v>2512</v>
      </c>
      <c r="C22" s="1025">
        <f>SUMIF('2015 Factor % to units'!B:B,B22,'2015 Factor % to units'!BC:BC)</f>
        <v>0</v>
      </c>
      <c r="D22" s="1026">
        <f t="shared" si="0"/>
        <v>0</v>
      </c>
      <c r="G22" s="1027"/>
      <c r="H22" s="26"/>
      <c r="I22" s="1028"/>
      <c r="J22" s="1026"/>
      <c r="M22" s="25"/>
      <c r="N22" s="26"/>
      <c r="O22" s="1028"/>
      <c r="P22" s="1026"/>
      <c r="S22" s="9"/>
      <c r="T22" s="10"/>
      <c r="U22" s="31"/>
      <c r="V22" s="1026"/>
    </row>
    <row r="23" spans="1:22" x14ac:dyDescent="0.2">
      <c r="A23" s="25" t="s">
        <v>24</v>
      </c>
      <c r="B23" s="10">
        <v>2456</v>
      </c>
      <c r="C23" s="1025">
        <f>SUMIF('2015 Factor % to units'!B:B,B23,'2015 Factor % to units'!BC:BC)</f>
        <v>0</v>
      </c>
      <c r="D23" s="1026">
        <f t="shared" si="0"/>
        <v>0</v>
      </c>
      <c r="G23" s="1027"/>
      <c r="H23" s="26"/>
      <c r="I23" s="1028"/>
      <c r="J23" s="1026"/>
      <c r="M23" s="25"/>
      <c r="N23" s="26"/>
      <c r="O23" s="1028"/>
      <c r="P23" s="1026"/>
      <c r="S23" s="9"/>
      <c r="T23" s="10"/>
      <c r="U23" s="31"/>
      <c r="V23" s="1026"/>
    </row>
    <row r="24" spans="1:22" x14ac:dyDescent="0.2">
      <c r="A24" s="25" t="s">
        <v>25</v>
      </c>
      <c r="B24" s="10">
        <v>2449</v>
      </c>
      <c r="C24" s="1025">
        <f>SUMIF('2015 Factor % to units'!B:B,B24,'2015 Factor % to units'!BC:BC)</f>
        <v>0</v>
      </c>
      <c r="D24" s="1026">
        <f t="shared" si="0"/>
        <v>0</v>
      </c>
      <c r="G24" s="1027"/>
      <c r="H24" s="26"/>
      <c r="I24" s="1028"/>
      <c r="J24" s="1026"/>
      <c r="M24" s="25"/>
      <c r="N24" s="26"/>
      <c r="O24" s="1028"/>
      <c r="P24" s="1026"/>
      <c r="S24" s="9"/>
      <c r="T24" s="10"/>
      <c r="U24" s="31"/>
      <c r="V24" s="1026"/>
    </row>
    <row r="25" spans="1:22" x14ac:dyDescent="0.2">
      <c r="A25" s="25" t="s">
        <v>26</v>
      </c>
      <c r="B25" s="10">
        <v>2448</v>
      </c>
      <c r="C25" s="1025">
        <f>SUMIF('2015 Factor % to units'!B:B,B25,'2015 Factor % to units'!BC:BC)</f>
        <v>0</v>
      </c>
      <c r="D25" s="1026">
        <f t="shared" si="0"/>
        <v>0</v>
      </c>
      <c r="G25" s="1027"/>
      <c r="H25" s="26"/>
      <c r="I25" s="1028"/>
      <c r="J25" s="1026"/>
      <c r="M25" s="25"/>
      <c r="N25" s="26"/>
      <c r="O25" s="1028"/>
      <c r="P25" s="1026"/>
      <c r="S25" s="9"/>
      <c r="T25" s="10"/>
      <c r="U25" s="31"/>
      <c r="V25" s="1026"/>
    </row>
    <row r="26" spans="1:22" x14ac:dyDescent="0.2">
      <c r="A26" s="25" t="s">
        <v>126</v>
      </c>
      <c r="B26" s="10">
        <v>2467</v>
      </c>
      <c r="C26" s="1025">
        <f>SUMIF('2015 Factor % to units'!B:B,B26,'2015 Factor % to units'!BC:BC)</f>
        <v>0</v>
      </c>
      <c r="D26" s="1026">
        <f t="shared" si="0"/>
        <v>0</v>
      </c>
      <c r="G26" s="1027"/>
      <c r="H26" s="26"/>
      <c r="I26" s="1028"/>
      <c r="J26" s="1026"/>
      <c r="M26" s="25"/>
      <c r="N26" s="26"/>
      <c r="O26" s="1028"/>
      <c r="P26" s="1026"/>
      <c r="S26" s="9"/>
      <c r="T26" s="10"/>
      <c r="U26" s="31"/>
      <c r="V26" s="1026"/>
    </row>
    <row r="27" spans="1:22" x14ac:dyDescent="0.2">
      <c r="A27" s="25" t="s">
        <v>28</v>
      </c>
      <c r="B27" s="10">
        <v>2455</v>
      </c>
      <c r="C27" s="1025">
        <f>SUMIF('2015 Factor % to units'!B:B,B27,'2015 Factor % to units'!BC:BC)</f>
        <v>0.98044692737430172</v>
      </c>
      <c r="D27" s="1026">
        <f t="shared" si="0"/>
        <v>1326.7571555865923</v>
      </c>
      <c r="G27" s="1027"/>
      <c r="H27" s="26"/>
      <c r="I27" s="1028"/>
      <c r="J27" s="1026"/>
      <c r="M27" s="25"/>
      <c r="N27" s="26"/>
      <c r="O27" s="1028"/>
      <c r="P27" s="1026"/>
      <c r="S27" s="9"/>
      <c r="T27" s="10"/>
      <c r="U27" s="31"/>
      <c r="V27" s="1026"/>
    </row>
    <row r="28" spans="1:22" x14ac:dyDescent="0.2">
      <c r="A28" s="25" t="s">
        <v>29</v>
      </c>
      <c r="B28" s="10">
        <v>5203</v>
      </c>
      <c r="C28" s="1025">
        <f>SUMIF('2015 Factor % to units'!B:B,B28,'2015 Factor % to units'!BC:BC)</f>
        <v>2.0166320166320166</v>
      </c>
      <c r="D28" s="1026">
        <f t="shared" si="0"/>
        <v>2728.9401226611226</v>
      </c>
      <c r="G28" s="1027"/>
      <c r="H28" s="26"/>
      <c r="I28" s="1028"/>
      <c r="J28" s="1026"/>
      <c r="M28" s="25"/>
      <c r="N28" s="26"/>
      <c r="O28" s="1028"/>
      <c r="P28" s="1026"/>
      <c r="S28" s="9"/>
      <c r="T28" s="10"/>
      <c r="U28" s="31"/>
      <c r="V28" s="1026"/>
    </row>
    <row r="29" spans="1:22" x14ac:dyDescent="0.2">
      <c r="A29" s="25" t="s">
        <v>30</v>
      </c>
      <c r="B29" s="10">
        <v>2451</v>
      </c>
      <c r="C29" s="1025">
        <f>SUMIF('2015 Factor % to units'!B:B,B29,'2015 Factor % to units'!BC:BC)</f>
        <v>1.0063965884861408</v>
      </c>
      <c r="D29" s="1026">
        <f t="shared" si="0"/>
        <v>1361.8726703624734</v>
      </c>
      <c r="G29" s="1027"/>
      <c r="H29" s="26"/>
      <c r="I29" s="1028"/>
      <c r="J29" s="1026"/>
      <c r="M29" s="25"/>
      <c r="N29" s="26"/>
      <c r="O29" s="1028"/>
      <c r="P29" s="1026"/>
      <c r="S29" s="9"/>
      <c r="T29" s="10"/>
      <c r="U29" s="31"/>
      <c r="V29" s="1026"/>
    </row>
    <row r="30" spans="1:22" x14ac:dyDescent="0.2">
      <c r="A30" s="25" t="s">
        <v>31</v>
      </c>
      <c r="B30" s="10">
        <v>2409</v>
      </c>
      <c r="C30" s="1025">
        <f>SUMIF('2015 Factor % to units'!B:B,B30,'2015 Factor % to units'!BC:BC)</f>
        <v>0</v>
      </c>
      <c r="D30" s="1026">
        <f t="shared" si="0"/>
        <v>0</v>
      </c>
      <c r="G30" s="1027"/>
      <c r="H30" s="26"/>
      <c r="I30" s="1028"/>
      <c r="J30" s="1026"/>
      <c r="M30" s="25"/>
      <c r="N30" s="26"/>
      <c r="O30" s="1028"/>
      <c r="P30" s="1026"/>
      <c r="S30" s="9"/>
      <c r="T30" s="10"/>
      <c r="U30" s="31"/>
      <c r="V30" s="1026"/>
    </row>
    <row r="31" spans="1:22" x14ac:dyDescent="0.2">
      <c r="A31" s="25" t="s">
        <v>98</v>
      </c>
      <c r="B31" s="10">
        <v>3158</v>
      </c>
      <c r="C31" s="1025">
        <f>SUMIF('2015 Factor % to units'!B:B,B31,'2015 Factor % to units'!BC:BC)</f>
        <v>0</v>
      </c>
      <c r="D31" s="1026">
        <f t="shared" si="0"/>
        <v>0</v>
      </c>
      <c r="G31" s="1027"/>
      <c r="H31" s="26"/>
      <c r="I31" s="1028"/>
      <c r="J31" s="1026"/>
      <c r="M31" s="25"/>
      <c r="N31" s="26"/>
      <c r="O31" s="1028"/>
      <c r="P31" s="1026"/>
      <c r="S31" s="9"/>
      <c r="T31" s="10"/>
      <c r="U31" s="31"/>
      <c r="V31" s="1026"/>
    </row>
    <row r="32" spans="1:22" x14ac:dyDescent="0.2">
      <c r="A32" s="25" t="s">
        <v>32</v>
      </c>
      <c r="B32" s="10">
        <v>2619</v>
      </c>
      <c r="C32" s="1025">
        <f>SUMIF('2015 Factor % to units'!B:B,B32,'2015 Factor % to units'!BC:BC)</f>
        <v>1.02</v>
      </c>
      <c r="D32" s="1026">
        <f t="shared" si="0"/>
        <v>1380.2810339999999</v>
      </c>
      <c r="G32" s="1027"/>
      <c r="H32" s="26"/>
      <c r="I32" s="1028"/>
      <c r="J32" s="1026"/>
      <c r="M32" s="25"/>
      <c r="N32" s="26"/>
      <c r="O32" s="1028"/>
      <c r="P32" s="1026"/>
      <c r="S32" s="9"/>
      <c r="T32" s="10"/>
      <c r="U32" s="31"/>
      <c r="V32" s="1026"/>
    </row>
    <row r="33" spans="1:22" x14ac:dyDescent="0.2">
      <c r="A33" s="25" t="s">
        <v>33</v>
      </c>
      <c r="B33" s="10">
        <v>2518</v>
      </c>
      <c r="C33" s="1025">
        <f>SUMIF('2015 Factor % to units'!B:B,B33,'2015 Factor % to units'!BC:BC)</f>
        <v>0</v>
      </c>
      <c r="D33" s="1026">
        <f t="shared" si="0"/>
        <v>0</v>
      </c>
      <c r="G33" s="1027"/>
      <c r="H33" s="26"/>
      <c r="I33" s="1028"/>
      <c r="J33" s="1026"/>
      <c r="M33" s="25"/>
      <c r="N33" s="26"/>
      <c r="O33" s="1028"/>
      <c r="P33" s="1026"/>
      <c r="S33" s="9"/>
      <c r="T33" s="10"/>
      <c r="U33" s="31"/>
      <c r="V33" s="1026"/>
    </row>
    <row r="34" spans="1:22" x14ac:dyDescent="0.2">
      <c r="A34" s="25" t="s">
        <v>34</v>
      </c>
      <c r="B34" s="10">
        <v>2457</v>
      </c>
      <c r="C34" s="1025">
        <f>SUMIF('2015 Factor % to units'!B:B,B34,'2015 Factor % to units'!BC:BC)</f>
        <v>2.9672131147540983</v>
      </c>
      <c r="D34" s="1026">
        <f t="shared" si="0"/>
        <v>4015.2823393442623</v>
      </c>
      <c r="G34" s="1027"/>
      <c r="H34" s="26"/>
      <c r="I34" s="1028"/>
      <c r="J34" s="1026"/>
      <c r="M34" s="25"/>
      <c r="N34" s="26"/>
      <c r="O34" s="1028"/>
      <c r="P34" s="1026"/>
      <c r="S34" s="9"/>
      <c r="T34" s="10"/>
      <c r="U34" s="31"/>
      <c r="V34" s="1026"/>
    </row>
    <row r="35" spans="1:22" x14ac:dyDescent="0.2">
      <c r="A35" s="25" t="s">
        <v>99</v>
      </c>
      <c r="B35" s="10">
        <v>2010</v>
      </c>
      <c r="C35" s="1025">
        <f>SUMIF('2015 Factor % to units'!B:B,B35,'2015 Factor % to units'!BC:BC)</f>
        <v>0</v>
      </c>
      <c r="D35" s="1026">
        <f t="shared" si="0"/>
        <v>0</v>
      </c>
      <c r="G35" s="1027"/>
      <c r="H35" s="26"/>
      <c r="I35" s="1028"/>
      <c r="J35" s="1026"/>
      <c r="M35" s="25"/>
      <c r="N35" s="26"/>
      <c r="O35" s="1028"/>
      <c r="P35" s="1026"/>
      <c r="S35" s="9"/>
      <c r="T35" s="10"/>
      <c r="U35" s="31"/>
      <c r="V35" s="1026"/>
    </row>
    <row r="36" spans="1:22" x14ac:dyDescent="0.2">
      <c r="A36" s="25" t="s">
        <v>35</v>
      </c>
      <c r="B36" s="10">
        <v>2002</v>
      </c>
      <c r="C36" s="1025">
        <f>SUMIF('2015 Factor % to units'!B:B,B36,'2015 Factor % to units'!BC:BC)</f>
        <v>0.99537037037037035</v>
      </c>
      <c r="D36" s="1026">
        <f t="shared" si="0"/>
        <v>1346.9518078703702</v>
      </c>
      <c r="G36" s="1027"/>
      <c r="H36" s="26"/>
      <c r="I36" s="1028"/>
      <c r="J36" s="1026"/>
      <c r="M36" s="25"/>
      <c r="N36" s="26"/>
      <c r="O36" s="1028"/>
      <c r="P36" s="1026"/>
      <c r="S36" s="9"/>
      <c r="T36" s="10"/>
      <c r="U36" s="31"/>
      <c r="V36" s="1026"/>
    </row>
    <row r="37" spans="1:22" x14ac:dyDescent="0.2">
      <c r="A37" s="25" t="s">
        <v>36</v>
      </c>
      <c r="B37" s="10">
        <v>3544</v>
      </c>
      <c r="C37" s="1025">
        <f>SUMIF('2015 Factor % to units'!B:B,B37,'2015 Factor % to units'!BC:BC)</f>
        <v>5.9666666666666668</v>
      </c>
      <c r="D37" s="1026">
        <f t="shared" si="0"/>
        <v>8074.1929766666663</v>
      </c>
      <c r="G37" s="1027"/>
      <c r="H37" s="26"/>
      <c r="I37" s="1028"/>
      <c r="J37" s="1026"/>
      <c r="M37" s="25"/>
      <c r="N37" s="26"/>
      <c r="O37" s="1028"/>
      <c r="P37" s="1026"/>
      <c r="S37" s="9"/>
      <c r="T37" s="10"/>
      <c r="U37" s="31"/>
      <c r="V37" s="1026"/>
    </row>
    <row r="38" spans="1:22" x14ac:dyDescent="0.2">
      <c r="A38" s="25" t="s">
        <v>100</v>
      </c>
      <c r="B38" s="10">
        <v>2006</v>
      </c>
      <c r="C38" s="1025">
        <f>SUMIF('2015 Factor % to units'!B:B,B38,'2015 Factor % to units'!BC:BC)</f>
        <v>1.0562248995983934</v>
      </c>
      <c r="D38" s="1026">
        <f t="shared" si="0"/>
        <v>1429.3011730923693</v>
      </c>
      <c r="G38" s="1027"/>
      <c r="H38" s="26"/>
      <c r="I38" s="1028"/>
      <c r="J38" s="1026"/>
      <c r="M38" s="25"/>
      <c r="N38" s="26"/>
      <c r="O38" s="1028"/>
      <c r="P38" s="1026"/>
      <c r="S38" s="9"/>
      <c r="T38" s="10"/>
      <c r="U38" s="31"/>
      <c r="V38" s="1026"/>
    </row>
    <row r="39" spans="1:22" x14ac:dyDescent="0.2">
      <c r="A39" s="25" t="s">
        <v>37</v>
      </c>
      <c r="B39" s="10">
        <v>2434</v>
      </c>
      <c r="C39" s="1025">
        <f>SUMIF('2015 Factor % to units'!B:B,B39,'2015 Factor % to units'!BC:BC)</f>
        <v>9.3445945945945947</v>
      </c>
      <c r="D39" s="1026">
        <f t="shared" si="0"/>
        <v>12645.261460135134</v>
      </c>
      <c r="G39" s="1027"/>
      <c r="H39" s="26"/>
      <c r="I39" s="1028"/>
      <c r="J39" s="1026"/>
      <c r="M39" s="25"/>
      <c r="N39" s="26"/>
      <c r="O39" s="1028"/>
      <c r="P39" s="1026"/>
      <c r="S39" s="9"/>
      <c r="T39" s="10"/>
      <c r="U39" s="31"/>
      <c r="V39" s="1026"/>
    </row>
    <row r="40" spans="1:22" x14ac:dyDescent="0.2">
      <c r="A40" s="25" t="s">
        <v>38</v>
      </c>
      <c r="B40" s="10">
        <v>2522</v>
      </c>
      <c r="C40" s="1025">
        <f>SUMIF('2015 Factor % to units'!B:B,B40,'2015 Factor % to units'!BC:BC)</f>
        <v>0.93946731234866832</v>
      </c>
      <c r="D40" s="1026">
        <f t="shared" si="0"/>
        <v>1271.3028561743342</v>
      </c>
      <c r="G40" s="1027"/>
      <c r="H40" s="26"/>
      <c r="I40" s="1028"/>
      <c r="J40" s="1026"/>
      <c r="M40" s="25"/>
      <c r="N40" s="26"/>
      <c r="O40" s="1028"/>
      <c r="P40" s="1026"/>
      <c r="S40" s="9"/>
      <c r="T40" s="10"/>
      <c r="U40" s="31"/>
      <c r="V40" s="1026"/>
    </row>
    <row r="41" spans="1:22" x14ac:dyDescent="0.2">
      <c r="A41" s="25" t="s">
        <v>39</v>
      </c>
      <c r="B41" s="10">
        <v>2436</v>
      </c>
      <c r="C41" s="1025">
        <f>SUMIF('2015 Factor % to units'!B:B,B41,'2015 Factor % to units'!BC:BC)</f>
        <v>2.0363636363636362</v>
      </c>
      <c r="D41" s="1026">
        <f t="shared" si="0"/>
        <v>2755.6412799999998</v>
      </c>
      <c r="G41" s="1027"/>
      <c r="H41" s="26"/>
      <c r="I41" s="1028"/>
      <c r="J41" s="1026"/>
      <c r="M41" s="25"/>
      <c r="N41" s="26"/>
      <c r="O41" s="1028"/>
      <c r="P41" s="1026"/>
      <c r="S41" s="9"/>
      <c r="T41" s="10"/>
      <c r="U41" s="31"/>
      <c r="V41" s="1026"/>
    </row>
    <row r="42" spans="1:22" x14ac:dyDescent="0.2">
      <c r="A42" s="25" t="s">
        <v>40</v>
      </c>
      <c r="B42" s="10">
        <v>2452</v>
      </c>
      <c r="C42" s="1025">
        <f>SUMIF('2015 Factor % to units'!B:B,B42,'2015 Factor % to units'!BC:BC)</f>
        <v>0</v>
      </c>
      <c r="D42" s="1026">
        <f t="shared" si="0"/>
        <v>0</v>
      </c>
      <c r="G42" s="1027"/>
      <c r="H42" s="26"/>
      <c r="I42" s="1028"/>
      <c r="J42" s="1026"/>
      <c r="M42" s="25"/>
      <c r="N42" s="26"/>
      <c r="O42" s="1028"/>
      <c r="P42" s="1026"/>
      <c r="S42" s="9"/>
      <c r="T42" s="10"/>
      <c r="U42" s="31"/>
      <c r="V42" s="1026"/>
    </row>
    <row r="43" spans="1:22" x14ac:dyDescent="0.2">
      <c r="A43" s="25" t="s">
        <v>41</v>
      </c>
      <c r="B43" s="10">
        <v>2627</v>
      </c>
      <c r="C43" s="1025">
        <f>SUMIF('2015 Factor % to units'!B:B,B43,'2015 Factor % to units'!BC:BC)</f>
        <v>0</v>
      </c>
      <c r="D43" s="1026">
        <f t="shared" si="0"/>
        <v>0</v>
      </c>
      <c r="G43" s="1027"/>
      <c r="H43" s="26"/>
      <c r="I43" s="1028"/>
      <c r="J43" s="1026"/>
      <c r="M43" s="25"/>
      <c r="N43" s="26"/>
      <c r="O43" s="1028"/>
      <c r="P43" s="1026"/>
      <c r="S43" s="9"/>
      <c r="T43" s="10"/>
      <c r="U43" s="31"/>
      <c r="V43" s="1026"/>
    </row>
    <row r="44" spans="1:22" x14ac:dyDescent="0.2">
      <c r="A44" s="25" t="s">
        <v>42</v>
      </c>
      <c r="B44" s="10">
        <v>2009</v>
      </c>
      <c r="C44" s="1025">
        <f>SUMIF('2015 Factor % to units'!B:B,B44,'2015 Factor % to units'!BC:BC)</f>
        <v>0</v>
      </c>
      <c r="D44" s="1026">
        <f t="shared" si="0"/>
        <v>0</v>
      </c>
      <c r="G44" s="1027"/>
      <c r="H44" s="26"/>
      <c r="I44" s="1028"/>
      <c r="J44" s="1026"/>
      <c r="M44" s="25"/>
      <c r="N44" s="26"/>
      <c r="O44" s="1028"/>
      <c r="P44" s="1026"/>
      <c r="S44" s="9"/>
      <c r="T44" s="10"/>
      <c r="U44" s="31"/>
      <c r="V44" s="1026"/>
    </row>
    <row r="45" spans="1:22" x14ac:dyDescent="0.2">
      <c r="A45" s="25" t="s">
        <v>101</v>
      </c>
      <c r="B45" s="10">
        <v>2473</v>
      </c>
      <c r="C45" s="1025">
        <f>SUMIF('2015 Factor % to units'!B:B,B45,'2015 Factor % to units'!BC:BC)</f>
        <v>0</v>
      </c>
      <c r="D45" s="1026">
        <f t="shared" si="0"/>
        <v>0</v>
      </c>
      <c r="G45" s="1027"/>
      <c r="H45" s="26"/>
      <c r="I45" s="1028"/>
      <c r="J45" s="1026"/>
      <c r="M45" s="25"/>
      <c r="N45" s="26"/>
      <c r="O45" s="1028"/>
      <c r="P45" s="1026"/>
      <c r="S45" s="9"/>
      <c r="T45" s="10"/>
      <c r="U45" s="31"/>
      <c r="V45" s="1026"/>
    </row>
    <row r="46" spans="1:22" x14ac:dyDescent="0.2">
      <c r="A46" s="25" t="s">
        <v>44</v>
      </c>
      <c r="B46" s="10">
        <v>2471</v>
      </c>
      <c r="C46" s="1025">
        <f>SUMIF('2015 Factor % to units'!B:B,B46,'2015 Factor % to units'!BC:BC)</f>
        <v>1.0115606936416184</v>
      </c>
      <c r="D46" s="1026">
        <f t="shared" si="0"/>
        <v>1368.8608236994216</v>
      </c>
      <c r="G46" s="1027"/>
      <c r="H46" s="26"/>
      <c r="I46" s="1028"/>
      <c r="J46" s="1026"/>
      <c r="M46" s="25"/>
      <c r="N46" s="26"/>
      <c r="O46" s="1028"/>
      <c r="P46" s="1026"/>
      <c r="S46" s="9"/>
      <c r="T46" s="10"/>
      <c r="U46" s="31"/>
      <c r="V46" s="1026"/>
    </row>
    <row r="47" spans="1:22" x14ac:dyDescent="0.2">
      <c r="A47" s="25" t="s">
        <v>43</v>
      </c>
      <c r="B47" s="10">
        <v>2420</v>
      </c>
      <c r="C47" s="1025">
        <f>SUMIF('2015 Factor % to units'!B:B,B47,'2015 Factor % to units'!BC:BC)</f>
        <v>3.2174840085287846</v>
      </c>
      <c r="D47" s="1026">
        <f t="shared" si="0"/>
        <v>4353.9530923240936</v>
      </c>
      <c r="G47" s="1027"/>
      <c r="H47" s="26"/>
      <c r="I47" s="1028"/>
      <c r="J47" s="1026"/>
      <c r="M47" s="25"/>
      <c r="N47" s="26"/>
      <c r="O47" s="1028"/>
      <c r="P47" s="1026"/>
      <c r="S47" s="9"/>
      <c r="T47" s="10"/>
      <c r="U47" s="31"/>
      <c r="V47" s="1026"/>
    </row>
    <row r="48" spans="1:22" x14ac:dyDescent="0.2">
      <c r="A48" s="25" t="s">
        <v>45</v>
      </c>
      <c r="B48" s="10">
        <v>2003</v>
      </c>
      <c r="C48" s="1025">
        <f>SUMIF('2015 Factor % to units'!B:B,B48,'2015 Factor % to units'!BC:BC)</f>
        <v>1.0094786729857821</v>
      </c>
      <c r="D48" s="1026">
        <f t="shared" si="0"/>
        <v>1366.0433985781992</v>
      </c>
      <c r="G48" s="1027"/>
      <c r="H48" s="26"/>
      <c r="I48" s="1028"/>
      <c r="J48" s="1026"/>
      <c r="M48" s="25"/>
      <c r="N48" s="26"/>
      <c r="O48" s="1028"/>
      <c r="P48" s="1026"/>
      <c r="S48" s="9"/>
      <c r="T48" s="10"/>
      <c r="U48" s="31"/>
      <c r="V48" s="1026"/>
    </row>
    <row r="49" spans="1:22" x14ac:dyDescent="0.2">
      <c r="A49" s="25" t="s">
        <v>46</v>
      </c>
      <c r="B49" s="10">
        <v>2423</v>
      </c>
      <c r="C49" s="1025">
        <f>SUMIF('2015 Factor % to units'!B:B,B49,'2015 Factor % to units'!BC:BC)</f>
        <v>1.8551532033426184</v>
      </c>
      <c r="D49" s="1026">
        <f t="shared" si="0"/>
        <v>2510.4242958217269</v>
      </c>
      <c r="G49" s="1027"/>
      <c r="H49" s="26"/>
      <c r="I49" s="1028"/>
      <c r="J49" s="1026"/>
      <c r="M49" s="25"/>
      <c r="N49" s="26"/>
      <c r="O49" s="1028"/>
      <c r="P49" s="1026"/>
      <c r="S49" s="9"/>
      <c r="T49" s="10"/>
      <c r="U49" s="31"/>
      <c r="V49" s="1026"/>
    </row>
    <row r="50" spans="1:22" x14ac:dyDescent="0.2">
      <c r="A50" s="25" t="s">
        <v>47</v>
      </c>
      <c r="B50" s="10">
        <v>2424</v>
      </c>
      <c r="C50" s="1025">
        <f>SUMIF('2015 Factor % to units'!B:B,B50,'2015 Factor % to units'!BC:BC)</f>
        <v>0.99630996309963094</v>
      </c>
      <c r="D50" s="1026">
        <f t="shared" si="0"/>
        <v>1348.2232804428043</v>
      </c>
      <c r="G50" s="1027"/>
      <c r="H50" s="26"/>
      <c r="I50" s="1028"/>
      <c r="J50" s="1026"/>
      <c r="M50" s="25"/>
      <c r="N50" s="26"/>
      <c r="O50" s="1028"/>
      <c r="P50" s="1026"/>
      <c r="S50" s="9"/>
      <c r="T50" s="10"/>
      <c r="U50" s="31"/>
      <c r="V50" s="1026"/>
    </row>
    <row r="51" spans="1:22" x14ac:dyDescent="0.2">
      <c r="A51" s="25" t="s">
        <v>48</v>
      </c>
      <c r="B51" s="10">
        <v>2439</v>
      </c>
      <c r="C51" s="1025">
        <f>SUMIF('2015 Factor % to units'!B:B,B51,'2015 Factor % to units'!BC:BC)</f>
        <v>0</v>
      </c>
      <c r="D51" s="1026">
        <f t="shared" si="0"/>
        <v>0</v>
      </c>
      <c r="G51" s="1027"/>
      <c r="H51" s="26"/>
      <c r="I51" s="1028"/>
      <c r="J51" s="1026"/>
      <c r="M51" s="25"/>
      <c r="N51" s="26"/>
      <c r="O51" s="1028"/>
      <c r="P51" s="1026"/>
      <c r="S51" s="9"/>
      <c r="T51" s="10"/>
      <c r="U51" s="31"/>
      <c r="V51" s="1026"/>
    </row>
    <row r="52" spans="1:22" x14ac:dyDescent="0.2">
      <c r="A52" s="25" t="s">
        <v>49</v>
      </c>
      <c r="B52" s="10">
        <v>2440</v>
      </c>
      <c r="C52" s="1025">
        <f>SUMIF('2015 Factor % to units'!B:B,B52,'2015 Factor % to units'!BC:BC)</f>
        <v>0</v>
      </c>
      <c r="D52" s="1026">
        <f t="shared" si="0"/>
        <v>0</v>
      </c>
      <c r="G52" s="1027"/>
      <c r="H52" s="26"/>
      <c r="I52" s="1028"/>
      <c r="J52" s="1026"/>
      <c r="M52" s="25"/>
      <c r="N52" s="26"/>
      <c r="O52" s="1028"/>
      <c r="P52" s="1026"/>
      <c r="S52" s="9"/>
      <c r="T52" s="10"/>
      <c r="U52" s="31"/>
      <c r="V52" s="1026"/>
    </row>
    <row r="53" spans="1:22" x14ac:dyDescent="0.2">
      <c r="A53" s="25" t="s">
        <v>102</v>
      </c>
      <c r="B53" s="10">
        <v>2462</v>
      </c>
      <c r="C53" s="1025">
        <f>SUMIF('2015 Factor % to units'!B:B,B53,'2015 Factor % to units'!BC:BC)</f>
        <v>0</v>
      </c>
      <c r="D53" s="1026">
        <f t="shared" si="0"/>
        <v>0</v>
      </c>
      <c r="G53" s="1027"/>
      <c r="H53" s="26"/>
      <c r="I53" s="1028"/>
      <c r="J53" s="1026"/>
      <c r="M53" s="25"/>
      <c r="N53" s="26"/>
      <c r="O53" s="1028"/>
      <c r="P53" s="1026"/>
      <c r="S53" s="9"/>
      <c r="T53" s="10"/>
      <c r="U53" s="31"/>
      <c r="V53" s="1026"/>
    </row>
    <row r="54" spans="1:22" x14ac:dyDescent="0.2">
      <c r="A54" s="25" t="s">
        <v>50</v>
      </c>
      <c r="B54" s="10">
        <v>2463</v>
      </c>
      <c r="C54" s="1025">
        <f>SUMIF('2015 Factor % to units'!B:B,B54,'2015 Factor % to units'!BC:BC)</f>
        <v>0</v>
      </c>
      <c r="D54" s="1026">
        <f t="shared" si="0"/>
        <v>0</v>
      </c>
      <c r="G54" s="1027"/>
      <c r="H54" s="26"/>
      <c r="I54" s="1028"/>
      <c r="J54" s="1026"/>
      <c r="M54" s="25"/>
      <c r="N54" s="26"/>
      <c r="O54" s="1028"/>
      <c r="P54" s="1026"/>
      <c r="S54" s="9"/>
      <c r="T54" s="10"/>
      <c r="U54" s="31"/>
      <c r="V54" s="1026"/>
    </row>
    <row r="55" spans="1:22" x14ac:dyDescent="0.2">
      <c r="A55" s="25" t="s">
        <v>51</v>
      </c>
      <c r="B55" s="10">
        <v>2505</v>
      </c>
      <c r="C55" s="1025">
        <f>SUMIF('2015 Factor % to units'!B:B,B55,'2015 Factor % to units'!BC:BC)</f>
        <v>0</v>
      </c>
      <c r="D55" s="1026">
        <f t="shared" si="0"/>
        <v>0</v>
      </c>
      <c r="G55" s="1027"/>
      <c r="H55" s="26"/>
      <c r="I55" s="1028"/>
      <c r="J55" s="1026"/>
      <c r="M55" s="25"/>
      <c r="N55" s="26"/>
      <c r="O55" s="1028"/>
      <c r="P55" s="1026"/>
      <c r="S55" s="9"/>
      <c r="T55" s="10"/>
      <c r="U55" s="31"/>
      <c r="V55" s="1026"/>
    </row>
    <row r="56" spans="1:22" x14ac:dyDescent="0.2">
      <c r="A56" s="25" t="s">
        <v>52</v>
      </c>
      <c r="B56" s="10">
        <v>2000</v>
      </c>
      <c r="C56" s="1025">
        <f>SUMIF('2015 Factor % to units'!B:B,B56,'2015 Factor % to units'!BC:BC)</f>
        <v>0.97068403908794798</v>
      </c>
      <c r="D56" s="1026">
        <f t="shared" si="0"/>
        <v>1313.5458521172638</v>
      </c>
      <c r="G56" s="1027"/>
      <c r="H56" s="26"/>
      <c r="I56" s="1028"/>
      <c r="J56" s="1026"/>
      <c r="M56" s="25"/>
      <c r="N56" s="26"/>
      <c r="O56" s="1028"/>
      <c r="P56" s="1026"/>
      <c r="S56" s="9"/>
      <c r="T56" s="10"/>
      <c r="U56" s="31"/>
      <c r="V56" s="1026"/>
    </row>
    <row r="57" spans="1:22" x14ac:dyDescent="0.2">
      <c r="A57" s="25" t="s">
        <v>53</v>
      </c>
      <c r="B57" s="10">
        <v>2458</v>
      </c>
      <c r="C57" s="1025">
        <f>SUMIF('2015 Factor % to units'!B:B,B57,'2015 Factor % to units'!BC:BC)</f>
        <v>0</v>
      </c>
      <c r="D57" s="1026">
        <f t="shared" si="0"/>
        <v>0</v>
      </c>
      <c r="G57" s="1027"/>
      <c r="H57" s="26"/>
      <c r="I57" s="1028"/>
      <c r="J57" s="1026"/>
      <c r="M57" s="25"/>
      <c r="N57" s="26"/>
      <c r="O57" s="1028"/>
      <c r="P57" s="1026"/>
      <c r="S57" s="9"/>
      <c r="T57" s="10"/>
      <c r="U57" s="31"/>
      <c r="V57" s="1026"/>
    </row>
    <row r="58" spans="1:22" x14ac:dyDescent="0.2">
      <c r="A58" s="25" t="s">
        <v>54</v>
      </c>
      <c r="B58" s="10">
        <v>2001</v>
      </c>
      <c r="C58" s="1025">
        <f>SUMIF('2015 Factor % to units'!B:B,B58,'2015 Factor % to units'!BC:BC)</f>
        <v>3.1055718475073317</v>
      </c>
      <c r="D58" s="1026">
        <f t="shared" si="0"/>
        <v>4202.5116870967749</v>
      </c>
      <c r="G58" s="1027"/>
      <c r="H58" s="26"/>
      <c r="I58" s="1028"/>
      <c r="J58" s="1026"/>
      <c r="M58" s="25"/>
      <c r="N58" s="26"/>
      <c r="O58" s="1028"/>
      <c r="P58" s="1026"/>
      <c r="S58" s="9"/>
      <c r="T58" s="10"/>
      <c r="U58" s="31"/>
      <c r="V58" s="1026"/>
    </row>
    <row r="59" spans="1:22" x14ac:dyDescent="0.2">
      <c r="A59" s="25" t="s">
        <v>55</v>
      </c>
      <c r="B59" s="10">
        <v>2429</v>
      </c>
      <c r="C59" s="1025">
        <f>SUMIF('2015 Factor % to units'!B:B,B59,'2015 Factor % to units'!BC:BC)</f>
        <v>1.9867549668874172</v>
      </c>
      <c r="D59" s="1026">
        <f t="shared" si="0"/>
        <v>2688.5099999999998</v>
      </c>
      <c r="G59" s="1027"/>
      <c r="H59" s="26"/>
      <c r="I59" s="1028"/>
      <c r="J59" s="1026"/>
      <c r="M59" s="25"/>
      <c r="N59" s="26"/>
      <c r="O59" s="1028"/>
      <c r="P59" s="1026"/>
      <c r="S59" s="9"/>
      <c r="T59" s="10"/>
      <c r="U59" s="31"/>
      <c r="V59" s="1026"/>
    </row>
    <row r="60" spans="1:22" x14ac:dyDescent="0.2">
      <c r="A60" s="25" t="s">
        <v>56</v>
      </c>
      <c r="B60" s="10">
        <v>2444</v>
      </c>
      <c r="C60" s="1025">
        <f>SUMIF('2015 Factor % to units'!B:B,B60,'2015 Factor % to units'!BC:BC)</f>
        <v>0</v>
      </c>
      <c r="D60" s="1026">
        <f t="shared" si="0"/>
        <v>0</v>
      </c>
      <c r="G60" s="1027"/>
      <c r="H60" s="26"/>
      <c r="I60" s="1028"/>
      <c r="J60" s="1026"/>
      <c r="M60" s="25"/>
      <c r="N60" s="26"/>
      <c r="O60" s="1028"/>
      <c r="P60" s="1026"/>
      <c r="S60" s="9"/>
      <c r="T60" s="10"/>
      <c r="U60" s="31"/>
      <c r="V60" s="1026"/>
    </row>
    <row r="61" spans="1:22" x14ac:dyDescent="0.2">
      <c r="A61" s="25" t="s">
        <v>57</v>
      </c>
      <c r="B61" s="10">
        <v>5209</v>
      </c>
      <c r="C61" s="1025">
        <f>SUMIF('2015 Factor % to units'!B:B,B61,'2015 Factor % to units'!BC:BC)</f>
        <v>0</v>
      </c>
      <c r="D61" s="1026">
        <f t="shared" si="0"/>
        <v>0</v>
      </c>
      <c r="G61" s="1027"/>
      <c r="H61" s="26"/>
      <c r="I61" s="1028"/>
      <c r="J61" s="1026"/>
      <c r="M61" s="25"/>
      <c r="N61" s="26"/>
      <c r="O61" s="1028"/>
      <c r="P61" s="1026"/>
      <c r="S61" s="9"/>
      <c r="T61" s="10"/>
      <c r="U61" s="31"/>
      <c r="V61" s="1026"/>
    </row>
    <row r="62" spans="1:22" x14ac:dyDescent="0.2">
      <c r="A62" s="25" t="s">
        <v>58</v>
      </c>
      <c r="B62" s="10">
        <v>2469</v>
      </c>
      <c r="C62" s="1025">
        <f>SUMIF('2015 Factor % to units'!B:B,B62,'2015 Factor % to units'!BC:BC)</f>
        <v>0</v>
      </c>
      <c r="D62" s="1026">
        <f t="shared" si="0"/>
        <v>0</v>
      </c>
      <c r="G62" s="1027"/>
      <c r="H62" s="26"/>
      <c r="I62" s="1028"/>
      <c r="J62" s="1026"/>
      <c r="M62" s="25"/>
      <c r="N62" s="26"/>
      <c r="O62" s="1028"/>
      <c r="P62" s="1026"/>
      <c r="S62" s="9"/>
      <c r="T62" s="10"/>
      <c r="U62" s="31"/>
      <c r="V62" s="1026"/>
    </row>
    <row r="63" spans="1:22" x14ac:dyDescent="0.2">
      <c r="A63" s="22" t="s">
        <v>451</v>
      </c>
      <c r="B63" s="10">
        <v>2430</v>
      </c>
      <c r="C63" s="1025">
        <f>SUMIF('2015 Factor % to units'!B:B,B63,'2015 Factor % to units'!BC:BC)</f>
        <v>0</v>
      </c>
      <c r="D63" s="1026">
        <f t="shared" si="0"/>
        <v>0</v>
      </c>
      <c r="G63" s="1027"/>
      <c r="H63" s="26"/>
      <c r="I63" s="1028"/>
      <c r="J63" s="1026"/>
      <c r="M63" s="25"/>
      <c r="N63" s="26"/>
      <c r="O63" s="1028"/>
      <c r="P63" s="1026"/>
      <c r="S63" s="9"/>
      <c r="T63" s="10"/>
      <c r="U63" s="31"/>
      <c r="V63" s="1026"/>
    </row>
    <row r="64" spans="1:22" x14ac:dyDescent="0.2">
      <c r="A64" s="25" t="s">
        <v>59</v>
      </c>
      <c r="B64" s="10">
        <v>2466</v>
      </c>
      <c r="C64" s="1025">
        <f>SUMIF('2015 Factor % to units'!B:B,B64,'2015 Factor % to units'!BC:BC)</f>
        <v>0</v>
      </c>
      <c r="D64" s="1026">
        <f t="shared" si="0"/>
        <v>0</v>
      </c>
      <c r="G64" s="1027"/>
      <c r="H64" s="26"/>
      <c r="I64" s="1028"/>
      <c r="J64" s="1026"/>
      <c r="M64" s="25"/>
      <c r="N64" s="26"/>
      <c r="O64" s="1028"/>
      <c r="P64" s="1026"/>
      <c r="S64" s="9"/>
      <c r="T64" s="10"/>
      <c r="U64" s="31"/>
      <c r="V64" s="1026"/>
    </row>
    <row r="65" spans="1:22" x14ac:dyDescent="0.2">
      <c r="A65" s="25" t="s">
        <v>60</v>
      </c>
      <c r="B65" s="10">
        <v>3543</v>
      </c>
      <c r="C65" s="1025">
        <f>SUMIF('2015 Factor % to units'!B:B,B65,'2015 Factor % to units'!BC:BC)</f>
        <v>2.0406779661016947</v>
      </c>
      <c r="D65" s="1026">
        <f t="shared" si="0"/>
        <v>2761.4795030508471</v>
      </c>
      <c r="G65" s="1027"/>
      <c r="H65" s="26"/>
      <c r="I65" s="1028"/>
      <c r="J65" s="1026"/>
      <c r="M65" s="25"/>
      <c r="N65" s="26"/>
      <c r="O65" s="1028"/>
      <c r="P65" s="1026"/>
      <c r="S65" s="9"/>
      <c r="T65" s="10"/>
      <c r="U65" s="31"/>
      <c r="V65" s="1026"/>
    </row>
    <row r="66" spans="1:22" x14ac:dyDescent="0.2">
      <c r="A66" s="25" t="s">
        <v>62</v>
      </c>
      <c r="B66" s="10">
        <v>3531</v>
      </c>
      <c r="C66" s="1025">
        <f>SUMIF('2015 Factor % to units'!B:B,B66,'2015 Factor % to units'!BC:BC)</f>
        <v>0</v>
      </c>
      <c r="D66" s="1026">
        <f t="shared" si="0"/>
        <v>0</v>
      </c>
      <c r="G66" s="1027"/>
      <c r="H66" s="26"/>
      <c r="I66" s="1028"/>
      <c r="J66" s="1026"/>
      <c r="M66" s="25"/>
      <c r="N66" s="26"/>
      <c r="O66" s="1028"/>
      <c r="P66" s="1026"/>
      <c r="S66" s="9"/>
      <c r="T66" s="10"/>
      <c r="U66" s="31"/>
      <c r="V66" s="1026"/>
    </row>
    <row r="67" spans="1:22" x14ac:dyDescent="0.2">
      <c r="A67" s="25" t="s">
        <v>103</v>
      </c>
      <c r="B67" s="10">
        <v>3526</v>
      </c>
      <c r="C67" s="1025">
        <f>SUMIF('2015 Factor % to units'!B:B,B67,'2015 Factor % to units'!BC:BC)</f>
        <v>0</v>
      </c>
      <c r="D67" s="1026">
        <f t="shared" si="0"/>
        <v>0</v>
      </c>
      <c r="G67" s="1027"/>
      <c r="H67" s="26"/>
      <c r="I67" s="1028"/>
      <c r="J67" s="1026"/>
      <c r="M67" s="25"/>
      <c r="N67" s="26"/>
      <c r="O67" s="1028"/>
      <c r="P67" s="1026"/>
      <c r="S67" s="9"/>
      <c r="T67" s="10"/>
      <c r="U67" s="31"/>
      <c r="V67" s="1026"/>
    </row>
    <row r="68" spans="1:22" x14ac:dyDescent="0.2">
      <c r="A68" s="25" t="s">
        <v>104</v>
      </c>
      <c r="B68" s="10">
        <v>3535</v>
      </c>
      <c r="C68" s="1025">
        <f>SUMIF('2015 Factor % to units'!B:B,B68,'2015 Factor % to units'!BC:BC)</f>
        <v>1.9734219269102991</v>
      </c>
      <c r="D68" s="1026">
        <f t="shared" si="0"/>
        <v>2670.4675076411959</v>
      </c>
      <c r="G68" s="1027"/>
      <c r="H68" s="26"/>
      <c r="I68" s="1028"/>
      <c r="J68" s="1026"/>
      <c r="M68" s="25"/>
      <c r="N68" s="26"/>
      <c r="O68" s="1028"/>
      <c r="P68" s="1026"/>
      <c r="S68" s="9"/>
      <c r="T68" s="10"/>
      <c r="U68" s="31"/>
      <c r="V68" s="1026"/>
    </row>
    <row r="69" spans="1:22" x14ac:dyDescent="0.2">
      <c r="A69" s="1029" t="s">
        <v>64</v>
      </c>
      <c r="B69" s="10">
        <v>2008</v>
      </c>
      <c r="C69" s="1025">
        <f>SUMIF('2015 Factor % to units'!B:B,B69,'2015 Factor % to units'!BC:BC)</f>
        <v>0</v>
      </c>
      <c r="D69" s="1026">
        <f t="shared" si="0"/>
        <v>0</v>
      </c>
      <c r="G69" s="1027"/>
      <c r="H69" s="26"/>
      <c r="I69" s="1028"/>
      <c r="J69" s="1026"/>
      <c r="M69" s="1029"/>
      <c r="N69" s="26"/>
      <c r="O69" s="1028"/>
      <c r="P69" s="1026"/>
      <c r="S69" s="12"/>
      <c r="T69" s="10"/>
      <c r="U69" s="31"/>
      <c r="V69" s="1026"/>
    </row>
    <row r="70" spans="1:22" x14ac:dyDescent="0.2">
      <c r="A70" s="25" t="s">
        <v>105</v>
      </c>
      <c r="B70" s="10">
        <v>3542</v>
      </c>
      <c r="C70" s="1025">
        <f>SUMIF('2015 Factor % to units'!B:B,B70,'2015 Factor % to units'!BC:BC)</f>
        <v>2.9331476323119778</v>
      </c>
      <c r="D70" s="1026">
        <f t="shared" si="0"/>
        <v>3969.184359610028</v>
      </c>
      <c r="G70" s="1027"/>
      <c r="H70" s="26"/>
      <c r="I70" s="1028"/>
      <c r="J70" s="1026"/>
      <c r="M70" s="25"/>
      <c r="N70" s="26"/>
      <c r="O70" s="1028"/>
      <c r="P70" s="1026"/>
      <c r="S70" s="9"/>
      <c r="T70" s="10"/>
      <c r="U70" s="31"/>
      <c r="V70" s="1026"/>
    </row>
    <row r="71" spans="1:22" x14ac:dyDescent="0.2">
      <c r="A71" s="25" t="s">
        <v>106</v>
      </c>
      <c r="B71" s="10">
        <v>3528</v>
      </c>
      <c r="C71" s="1025">
        <f>SUMIF('2015 Factor % to units'!B:B,B71,'2015 Factor % to units'!BC:BC)</f>
        <v>1.9439775910364145</v>
      </c>
      <c r="D71" s="1026">
        <f t="shared" si="0"/>
        <v>2630.6229406162465</v>
      </c>
      <c r="G71" s="1027"/>
      <c r="H71" s="26"/>
      <c r="I71" s="1028"/>
      <c r="J71" s="1026"/>
      <c r="M71" s="25"/>
      <c r="N71" s="26"/>
      <c r="O71" s="1028"/>
      <c r="P71" s="1026"/>
      <c r="S71" s="9"/>
      <c r="T71" s="10"/>
      <c r="U71" s="31"/>
      <c r="V71" s="1026"/>
    </row>
    <row r="72" spans="1:22" x14ac:dyDescent="0.2">
      <c r="A72" s="25" t="s">
        <v>107</v>
      </c>
      <c r="B72" s="10">
        <v>3534</v>
      </c>
      <c r="C72" s="1025">
        <f>SUMIF('2015 Factor % to units'!B:B,B72,'2015 Factor % to units'!BC:BC)</f>
        <v>0</v>
      </c>
      <c r="D72" s="1026">
        <f t="shared" ref="D72:D77" si="1">C$5*C72</f>
        <v>0</v>
      </c>
      <c r="G72" s="1027"/>
      <c r="H72" s="26"/>
      <c r="I72" s="1028"/>
      <c r="J72" s="1026"/>
      <c r="M72" s="25"/>
      <c r="N72" s="26"/>
      <c r="O72" s="1028"/>
      <c r="P72" s="1026"/>
      <c r="S72" s="9"/>
      <c r="T72" s="10"/>
      <c r="U72" s="31"/>
      <c r="V72" s="1026"/>
    </row>
    <row r="73" spans="1:22" x14ac:dyDescent="0.2">
      <c r="A73" s="25" t="s">
        <v>108</v>
      </c>
      <c r="B73" s="10">
        <v>3532</v>
      </c>
      <c r="C73" s="1025">
        <f>SUMIF('2015 Factor % to units'!B:B,B73,'2015 Factor % to units'!BC:BC)</f>
        <v>1.023102310231023</v>
      </c>
      <c r="D73" s="1026">
        <f t="shared" si="1"/>
        <v>1384.4791320132013</v>
      </c>
      <c r="G73" s="1027"/>
      <c r="H73" s="26"/>
      <c r="I73" s="1028"/>
      <c r="J73" s="1026"/>
      <c r="M73" s="25"/>
      <c r="N73" s="26"/>
      <c r="O73" s="1028"/>
      <c r="P73" s="1026"/>
      <c r="S73" s="9"/>
      <c r="T73" s="10"/>
      <c r="U73" s="31"/>
      <c r="V73" s="1026"/>
    </row>
    <row r="74" spans="1:22" x14ac:dyDescent="0.2">
      <c r="A74" s="25" t="s">
        <v>65</v>
      </c>
      <c r="B74" s="10">
        <v>3546</v>
      </c>
      <c r="C74" s="1025">
        <f>SUMIF('2015 Factor % to units'!B:B,B74,'2015 Factor % to units'!BC:BC)</f>
        <v>2.0184842883548981</v>
      </c>
      <c r="D74" s="1026">
        <f t="shared" si="1"/>
        <v>2731.4466476894636</v>
      </c>
      <c r="G74" s="1027"/>
      <c r="H74" s="26"/>
      <c r="I74" s="1028"/>
      <c r="J74" s="1026"/>
      <c r="M74" s="25"/>
      <c r="N74" s="26"/>
      <c r="O74" s="1028"/>
      <c r="P74" s="1026"/>
      <c r="S74" s="9"/>
      <c r="T74" s="10"/>
      <c r="U74" s="31"/>
      <c r="V74" s="1026"/>
    </row>
    <row r="75" spans="1:22" x14ac:dyDescent="0.2">
      <c r="A75" s="25" t="s">
        <v>109</v>
      </c>
      <c r="B75" s="10">
        <v>3530</v>
      </c>
      <c r="C75" s="1025">
        <f>SUMIF('2015 Factor % to units'!B:B,B75,'2015 Factor % to units'!BC:BC)</f>
        <v>2.0786885245901638</v>
      </c>
      <c r="D75" s="1026">
        <f t="shared" si="1"/>
        <v>2812.9160255737702</v>
      </c>
      <c r="G75" s="1027"/>
      <c r="H75" s="26"/>
      <c r="I75" s="1028"/>
      <c r="J75" s="1026"/>
      <c r="M75" s="25"/>
      <c r="N75" s="26"/>
      <c r="O75" s="1028"/>
      <c r="P75" s="1026"/>
      <c r="S75" s="9"/>
      <c r="T75" s="10"/>
      <c r="U75" s="31"/>
      <c r="V75" s="1026"/>
    </row>
    <row r="76" spans="1:22" x14ac:dyDescent="0.2">
      <c r="A76" s="25" t="s">
        <v>67</v>
      </c>
      <c r="B76" s="10">
        <v>2459</v>
      </c>
      <c r="C76" s="1025">
        <f>SUMIF('2015 Factor % to units'!B:B,B76,'2015 Factor % to units'!BC:BC)</f>
        <v>2.0103092783505154</v>
      </c>
      <c r="D76" s="1026">
        <f t="shared" si="1"/>
        <v>2720.3840876288659</v>
      </c>
      <c r="G76" s="1027"/>
      <c r="H76" s="26"/>
      <c r="I76" s="1028"/>
      <c r="J76" s="1026"/>
      <c r="M76" s="25"/>
      <c r="N76" s="26"/>
      <c r="O76" s="1028"/>
      <c r="P76" s="1026"/>
      <c r="S76" s="9"/>
      <c r="T76" s="10"/>
      <c r="U76" s="31"/>
      <c r="V76" s="1026"/>
    </row>
    <row r="77" spans="1:22" x14ac:dyDescent="0.2">
      <c r="A77" s="9" t="s">
        <v>912</v>
      </c>
      <c r="B77" s="10">
        <v>4000</v>
      </c>
      <c r="C77" s="1025">
        <f>SUMIF('2015 Factor % to units'!B:B,B77,'2015 Factor % to units'!BC:BC)</f>
        <v>0</v>
      </c>
      <c r="D77" s="1026">
        <f t="shared" si="1"/>
        <v>0</v>
      </c>
      <c r="G77" s="1027"/>
      <c r="H77" s="26"/>
      <c r="I77" s="1028"/>
      <c r="J77" s="1026"/>
      <c r="M77" s="25"/>
      <c r="N77" s="26"/>
      <c r="O77" s="1028"/>
      <c r="P77" s="1026"/>
      <c r="S77" s="9"/>
      <c r="T77" s="10"/>
      <c r="U77" s="31"/>
      <c r="V77" s="1026"/>
    </row>
    <row r="78" spans="1:22" x14ac:dyDescent="0.2">
      <c r="A78" s="25"/>
      <c r="B78" s="10"/>
      <c r="C78" s="1028"/>
      <c r="D78" s="23"/>
      <c r="G78" s="31"/>
      <c r="H78" s="26"/>
      <c r="I78" s="1028"/>
      <c r="J78" s="23"/>
      <c r="M78" s="25"/>
      <c r="N78" s="26"/>
      <c r="O78" s="1028"/>
      <c r="P78" s="23"/>
      <c r="S78" s="9"/>
      <c r="T78" s="10"/>
      <c r="U78" s="31"/>
      <c r="V78" s="23"/>
    </row>
    <row r="79" spans="1:22" x14ac:dyDescent="0.2">
      <c r="A79" s="24" t="s">
        <v>110</v>
      </c>
      <c r="B79" s="1" t="s">
        <v>110</v>
      </c>
      <c r="C79" s="1030">
        <f>SUM(C7:C77)</f>
        <v>69.727613294198378</v>
      </c>
      <c r="D79" s="1030">
        <f>SUM(D7:D77)</f>
        <v>94356.570760851217</v>
      </c>
      <c r="F79" s="1030"/>
      <c r="G79" s="1031"/>
      <c r="H79" s="24"/>
      <c r="I79" s="1030"/>
      <c r="J79" s="1026"/>
      <c r="M79" s="24"/>
      <c r="N79" s="24"/>
      <c r="O79" s="1030"/>
      <c r="P79" s="1026"/>
      <c r="S79" s="1"/>
      <c r="T79" s="1"/>
      <c r="U79" s="1031"/>
      <c r="V79" s="29"/>
    </row>
    <row r="80" spans="1:22" x14ac:dyDescent="0.2">
      <c r="A80" s="25"/>
      <c r="B80" s="10"/>
      <c r="C80" s="1028"/>
      <c r="D80" s="23"/>
      <c r="G80" s="31"/>
      <c r="H80" s="26"/>
      <c r="I80" s="1028"/>
      <c r="J80" s="23"/>
      <c r="M80" s="25"/>
      <c r="N80" s="26"/>
      <c r="O80" s="1028"/>
      <c r="P80" s="23"/>
      <c r="S80" s="9"/>
      <c r="T80" s="10"/>
      <c r="U80" s="31"/>
      <c r="V80" s="23"/>
    </row>
    <row r="81" spans="1:22" x14ac:dyDescent="0.2">
      <c r="A81" s="25" t="s">
        <v>75</v>
      </c>
      <c r="B81" s="10">
        <v>5402</v>
      </c>
      <c r="C81" s="1025">
        <f>SUMIF('2015 Factor % to units'!B:B,B81,'2015 Factor % to units'!BC:BC)</f>
        <v>8.9729323308270672</v>
      </c>
      <c r="D81" s="1026">
        <f t="shared" ref="D81:D94" si="2">C$5*C81</f>
        <v>12142.321878045112</v>
      </c>
      <c r="G81" s="1027"/>
      <c r="H81" s="26"/>
      <c r="I81" s="1028"/>
      <c r="J81" s="1026"/>
      <c r="M81" s="25"/>
      <c r="N81" s="26"/>
      <c r="O81" s="1028"/>
      <c r="P81" s="1026"/>
      <c r="S81" s="9"/>
      <c r="T81" s="10"/>
      <c r="U81" s="31"/>
      <c r="V81" s="1026"/>
    </row>
    <row r="82" spans="1:22" x14ac:dyDescent="0.2">
      <c r="A82" s="25" t="s">
        <v>68</v>
      </c>
      <c r="B82" s="10">
        <v>4608</v>
      </c>
      <c r="C82" s="1025">
        <f>SUMIF('2015 Factor % to units'!B:B,B82,'2015 Factor % to units'!BC:BC)</f>
        <v>4.0290909090909093</v>
      </c>
      <c r="D82" s="1026">
        <f t="shared" si="2"/>
        <v>5452.2331039999999</v>
      </c>
      <c r="G82" s="1027"/>
      <c r="H82" s="26"/>
      <c r="I82" s="1028"/>
      <c r="J82" s="1026"/>
      <c r="M82" s="25"/>
      <c r="N82" s="26"/>
      <c r="O82" s="1028"/>
      <c r="P82" s="1026"/>
      <c r="S82" s="9"/>
      <c r="T82" s="10"/>
      <c r="U82" s="31"/>
      <c r="V82" s="1026"/>
    </row>
    <row r="83" spans="1:22" x14ac:dyDescent="0.2">
      <c r="A83" s="25" t="s">
        <v>111</v>
      </c>
      <c r="B83" s="10">
        <v>4178</v>
      </c>
      <c r="C83" s="1025">
        <f>SUMIF('2015 Factor % to units'!B:B,B83,'2015 Factor % to units'!BC:BC)</f>
        <v>7.9332827899924183</v>
      </c>
      <c r="D83" s="1026">
        <f t="shared" si="2"/>
        <v>10735.450757240333</v>
      </c>
      <c r="G83" s="1027"/>
      <c r="H83" s="26"/>
      <c r="I83" s="1028"/>
      <c r="J83" s="1026"/>
      <c r="M83" s="25"/>
      <c r="N83" s="26"/>
      <c r="O83" s="1028"/>
      <c r="P83" s="1026"/>
      <c r="S83" s="9"/>
      <c r="T83" s="10"/>
      <c r="U83" s="31"/>
      <c r="V83" s="1026"/>
    </row>
    <row r="84" spans="1:22" x14ac:dyDescent="0.2">
      <c r="A84" s="25" t="s">
        <v>69</v>
      </c>
      <c r="B84" s="10">
        <v>4181</v>
      </c>
      <c r="C84" s="1025">
        <f>SUMIF('2015 Factor % to units'!B:B,B84,'2015 Factor % to units'!BC:BC)</f>
        <v>0.98243992606284658</v>
      </c>
      <c r="D84" s="1026">
        <f t="shared" si="2"/>
        <v>1329.4541146950091</v>
      </c>
      <c r="G84" s="1027"/>
      <c r="H84" s="26"/>
      <c r="I84" s="1028"/>
      <c r="J84" s="1026"/>
      <c r="M84" s="25"/>
      <c r="N84" s="26"/>
      <c r="O84" s="1028"/>
      <c r="P84" s="1026"/>
      <c r="S84" s="9"/>
      <c r="T84" s="10"/>
      <c r="U84" s="31"/>
      <c r="V84" s="1026"/>
    </row>
    <row r="85" spans="1:22" x14ac:dyDescent="0.2">
      <c r="A85" s="25" t="s">
        <v>70</v>
      </c>
      <c r="B85" s="10">
        <v>4182</v>
      </c>
      <c r="C85" s="1025">
        <f>SUMIF('2015 Factor % to units'!B:B,B85,'2015 Factor % to units'!BC:BC)</f>
        <v>9.1906501095690274</v>
      </c>
      <c r="D85" s="1026">
        <f t="shared" si="2"/>
        <v>12436.941212125637</v>
      </c>
      <c r="G85" s="1027"/>
      <c r="H85" s="26"/>
      <c r="I85" s="1028"/>
      <c r="J85" s="1026"/>
      <c r="M85" s="25"/>
      <c r="N85" s="26"/>
      <c r="O85" s="1028"/>
      <c r="P85" s="1026"/>
      <c r="S85" s="9"/>
      <c r="T85" s="10"/>
      <c r="U85" s="31"/>
      <c r="V85" s="1026"/>
    </row>
    <row r="86" spans="1:22" x14ac:dyDescent="0.2">
      <c r="A86" s="25" t="s">
        <v>71</v>
      </c>
      <c r="B86" s="1032">
        <v>4001</v>
      </c>
      <c r="C86" s="1025">
        <f>SUMIF('2015 Factor % to units'!B:B,B86,'2015 Factor % to units'!BC:BC)</f>
        <v>6.5101781170483459</v>
      </c>
      <c r="D86" s="1026">
        <f t="shared" si="2"/>
        <v>8809.681747964376</v>
      </c>
      <c r="G86" s="1027"/>
      <c r="H86" s="26"/>
      <c r="I86" s="1028"/>
      <c r="J86" s="1026"/>
      <c r="M86" s="25"/>
      <c r="N86" s="26"/>
      <c r="O86" s="1028"/>
      <c r="P86" s="1026"/>
      <c r="S86" s="9"/>
      <c r="T86" s="10"/>
      <c r="U86" s="31"/>
      <c r="V86" s="1026"/>
    </row>
    <row r="87" spans="1:22" x14ac:dyDescent="0.2">
      <c r="A87" s="25" t="s">
        <v>112</v>
      </c>
      <c r="B87" s="10">
        <v>5406</v>
      </c>
      <c r="C87" s="1025">
        <f>SUMIF('2015 Factor % to units'!B:B,B87,'2015 Factor % to units'!BC:BC)</f>
        <v>3.9675174013921111</v>
      </c>
      <c r="D87" s="1026">
        <f t="shared" si="2"/>
        <v>5368.9108051044077</v>
      </c>
      <c r="G87" s="1027"/>
      <c r="H87" s="26"/>
      <c r="I87" s="1028"/>
      <c r="J87" s="1026"/>
      <c r="M87" s="25"/>
      <c r="N87" s="26"/>
      <c r="O87" s="1028"/>
      <c r="P87" s="1026"/>
      <c r="S87" s="9"/>
      <c r="T87" s="10"/>
      <c r="U87" s="31"/>
      <c r="V87" s="1026"/>
    </row>
    <row r="88" spans="1:22" x14ac:dyDescent="0.2">
      <c r="A88" s="25" t="s">
        <v>113</v>
      </c>
      <c r="B88" s="10">
        <v>5407</v>
      </c>
      <c r="C88" s="1025">
        <f>SUMIF('2015 Factor % to units'!B:B,B88,'2015 Factor % to units'!BC:BC)</f>
        <v>6.1791044776119399</v>
      </c>
      <c r="D88" s="1026">
        <f t="shared" si="2"/>
        <v>8361.6673701492527</v>
      </c>
      <c r="G88" s="1027"/>
      <c r="H88" s="26"/>
      <c r="I88" s="1028"/>
      <c r="J88" s="1026"/>
      <c r="M88" s="25"/>
      <c r="N88" s="26"/>
      <c r="O88" s="1028"/>
      <c r="P88" s="1026"/>
      <c r="S88" s="9"/>
      <c r="T88" s="10"/>
      <c r="U88" s="31"/>
      <c r="V88" s="1026"/>
    </row>
    <row r="89" spans="1:22" x14ac:dyDescent="0.2">
      <c r="A89" s="25" t="s">
        <v>72</v>
      </c>
      <c r="B89" s="10">
        <v>4607</v>
      </c>
      <c r="C89" s="1025">
        <f>SUMIF('2015 Factor % to units'!B:B,B89,'2015 Factor % to units'!BC:BC)</f>
        <v>1.9605488850771868</v>
      </c>
      <c r="D89" s="1026">
        <f t="shared" si="2"/>
        <v>2653.0474924528298</v>
      </c>
      <c r="G89" s="1027"/>
      <c r="H89" s="26"/>
      <c r="I89" s="1028"/>
      <c r="J89" s="1026"/>
      <c r="M89" s="25"/>
      <c r="N89" s="26"/>
      <c r="O89" s="1028"/>
      <c r="P89" s="1026"/>
      <c r="S89" s="9"/>
      <c r="T89" s="10"/>
      <c r="U89" s="31"/>
      <c r="V89" s="1026"/>
    </row>
    <row r="90" spans="1:22" x14ac:dyDescent="0.2">
      <c r="A90" s="25" t="s">
        <v>1046</v>
      </c>
      <c r="B90" s="1032">
        <v>4002</v>
      </c>
      <c r="C90" s="1025">
        <f>SUMIF('2015 Factor % to units'!B:B,B90,'2015 Factor % to units'!BC:BC)</f>
        <v>3.087301587301587</v>
      </c>
      <c r="D90" s="1026">
        <f t="shared" si="2"/>
        <v>4177.7880658730155</v>
      </c>
      <c r="G90" s="1027"/>
      <c r="H90" s="26"/>
      <c r="I90" s="1028"/>
      <c r="J90" s="1026"/>
      <c r="M90" s="25"/>
      <c r="N90" s="26"/>
      <c r="O90" s="1028"/>
      <c r="P90" s="1026"/>
      <c r="S90" s="9"/>
      <c r="T90" s="10"/>
      <c r="U90" s="31"/>
      <c r="V90" s="1026"/>
    </row>
    <row r="91" spans="1:22" x14ac:dyDescent="0.2">
      <c r="A91" s="25" t="s">
        <v>74</v>
      </c>
      <c r="B91" s="10">
        <v>5412</v>
      </c>
      <c r="C91" s="1025">
        <f>SUMIF('2015 Factor % to units'!B:B,B91,'2015 Factor % to units'!BC:BC)</f>
        <v>4.0515713134568898</v>
      </c>
      <c r="D91" s="1026">
        <f t="shared" si="2"/>
        <v>5482.6539626107979</v>
      </c>
      <c r="G91" s="1027"/>
      <c r="H91" s="26"/>
      <c r="I91" s="1028"/>
      <c r="J91" s="1026"/>
      <c r="M91" s="25"/>
      <c r="N91" s="26"/>
      <c r="O91" s="1028"/>
      <c r="P91" s="1026"/>
      <c r="S91" s="9"/>
      <c r="T91" s="10"/>
      <c r="U91" s="31"/>
      <c r="V91" s="1026"/>
    </row>
    <row r="92" spans="1:22" x14ac:dyDescent="0.2">
      <c r="A92" s="25" t="s">
        <v>73</v>
      </c>
      <c r="B92" s="10">
        <v>5414</v>
      </c>
      <c r="C92" s="1025">
        <f>SUMIF('2015 Factor % to units'!B:B,B92,'2015 Factor % to units'!BC:BC)</f>
        <v>2.0096525096525095</v>
      </c>
      <c r="D92" s="1026">
        <f t="shared" si="2"/>
        <v>2719.495337258687</v>
      </c>
      <c r="G92" s="1027"/>
      <c r="H92" s="26"/>
      <c r="I92" s="1028"/>
      <c r="J92" s="1026"/>
      <c r="M92" s="25"/>
      <c r="N92" s="26"/>
      <c r="O92" s="1028"/>
      <c r="P92" s="1026"/>
      <c r="S92" s="9"/>
      <c r="T92" s="10"/>
      <c r="U92" s="31"/>
      <c r="V92" s="1026"/>
    </row>
    <row r="93" spans="1:22" x14ac:dyDescent="0.2">
      <c r="A93" s="9" t="s">
        <v>912</v>
      </c>
      <c r="B93" s="10"/>
      <c r="C93" s="1025">
        <f>SUMIF('2015 Factor % to units'!B:B,B93,'2015 Factor % to units'!BC:BC)</f>
        <v>0</v>
      </c>
      <c r="D93" s="1026">
        <f t="shared" si="2"/>
        <v>0</v>
      </c>
      <c r="G93" s="1027"/>
      <c r="H93" s="26"/>
      <c r="I93" s="1028"/>
      <c r="J93" s="1026"/>
      <c r="M93" s="25"/>
      <c r="N93" s="26"/>
      <c r="O93" s="1028"/>
      <c r="P93" s="1026"/>
      <c r="S93" s="9"/>
      <c r="T93" s="10"/>
      <c r="U93" s="31"/>
      <c r="V93" s="1026"/>
    </row>
    <row r="94" spans="1:22" x14ac:dyDescent="0.2">
      <c r="A94" s="9" t="s">
        <v>597</v>
      </c>
      <c r="B94" s="10">
        <v>6905</v>
      </c>
      <c r="C94" s="1025">
        <f>SUMIF('2015 Factor % to units'!B:B,B94,'2015 Factor % to units'!BC:BC)</f>
        <v>5.9787485242030698</v>
      </c>
      <c r="D94" s="1026">
        <f t="shared" si="2"/>
        <v>8090.5423480519476</v>
      </c>
      <c r="G94" s="1027"/>
      <c r="H94" s="26"/>
      <c r="I94" s="1028"/>
      <c r="J94" s="1026"/>
      <c r="M94" s="25"/>
      <c r="N94" s="26"/>
      <c r="O94" s="1028"/>
      <c r="P94" s="1026"/>
      <c r="S94" s="9"/>
      <c r="T94" s="10"/>
      <c r="U94" s="31"/>
      <c r="V94" s="1026"/>
    </row>
    <row r="95" spans="1:22" x14ac:dyDescent="0.2">
      <c r="A95" s="25"/>
      <c r="B95" s="10"/>
      <c r="D95" s="23"/>
      <c r="G95" s="1011"/>
      <c r="H95" s="26"/>
      <c r="J95" s="23"/>
      <c r="M95" s="25"/>
      <c r="N95" s="26"/>
      <c r="P95" s="23"/>
      <c r="S95" s="9"/>
      <c r="T95" s="10"/>
      <c r="U95" s="1011"/>
      <c r="V95" s="23"/>
    </row>
    <row r="96" spans="1:22" x14ac:dyDescent="0.2">
      <c r="A96" s="24" t="s">
        <v>115</v>
      </c>
      <c r="B96" s="1" t="s">
        <v>115</v>
      </c>
      <c r="C96" s="1030">
        <f>SUM(C81:C94)</f>
        <v>64.853018881285919</v>
      </c>
      <c r="D96" s="1030">
        <f>SUM(D81:D94)</f>
        <v>87760.18819557142</v>
      </c>
      <c r="F96" s="1030"/>
      <c r="G96" s="1031"/>
      <c r="H96" s="24"/>
      <c r="I96" s="1030"/>
      <c r="J96" s="1026"/>
      <c r="M96" s="24"/>
      <c r="N96" s="24"/>
      <c r="O96" s="1030"/>
      <c r="P96" s="1026"/>
      <c r="S96" s="1"/>
      <c r="T96" s="1"/>
      <c r="U96" s="1031"/>
      <c r="V96" s="29"/>
    </row>
    <row r="97" spans="1:22" x14ac:dyDescent="0.2">
      <c r="A97" s="24"/>
      <c r="B97" s="1"/>
      <c r="C97" s="1030"/>
      <c r="D97" s="1030"/>
      <c r="G97" s="1031"/>
      <c r="H97" s="24"/>
      <c r="I97" s="1030"/>
      <c r="J97" s="1026"/>
      <c r="M97" s="24"/>
      <c r="N97" s="24"/>
      <c r="O97" s="1030"/>
      <c r="P97" s="1026"/>
      <c r="S97" s="1"/>
      <c r="T97" s="1"/>
      <c r="U97" s="1031"/>
      <c r="V97" s="29"/>
    </row>
    <row r="98" spans="1:22" x14ac:dyDescent="0.2">
      <c r="A98" s="9" t="s">
        <v>114</v>
      </c>
      <c r="B98" s="10">
        <v>4177</v>
      </c>
      <c r="C98" s="1025">
        <f>SUMIF('2015 Factor % to units'!B:B,B98,'2015 Factor % to units'!BC:BC)</f>
        <v>7.9103392568659121</v>
      </c>
      <c r="D98" s="1026">
        <f>C$5*C98</f>
        <v>10704.403185056541</v>
      </c>
      <c r="F98" s="11"/>
      <c r="G98" s="1031"/>
      <c r="H98" s="24"/>
      <c r="I98" s="1030"/>
      <c r="J98" s="1026"/>
      <c r="M98" s="24"/>
      <c r="N98" s="24"/>
      <c r="O98" s="1030"/>
      <c r="P98" s="1026"/>
      <c r="S98" s="1"/>
      <c r="T98" s="1"/>
      <c r="U98" s="1031"/>
      <c r="V98" s="29"/>
    </row>
    <row r="99" spans="1:22" x14ac:dyDescent="0.2">
      <c r="A99" s="1"/>
      <c r="B99" s="1"/>
      <c r="C99" s="1030"/>
      <c r="D99" s="1030"/>
      <c r="G99" s="1031"/>
      <c r="H99" s="24"/>
      <c r="I99" s="1030"/>
      <c r="J99" s="1026"/>
      <c r="M99" s="24"/>
      <c r="N99" s="24"/>
      <c r="O99" s="1030"/>
      <c r="P99" s="1026"/>
      <c r="S99" s="1"/>
      <c r="T99" s="1"/>
      <c r="U99" s="1031"/>
      <c r="V99" s="29"/>
    </row>
    <row r="100" spans="1:22" x14ac:dyDescent="0.2">
      <c r="A100" s="1" t="s">
        <v>914</v>
      </c>
      <c r="B100" s="1" t="s">
        <v>915</v>
      </c>
      <c r="C100" s="1030">
        <f>C98</f>
        <v>7.9103392568659121</v>
      </c>
      <c r="D100" s="1030">
        <f>D98</f>
        <v>10704.403185056541</v>
      </c>
      <c r="F100" s="1030"/>
      <c r="G100" s="1011"/>
      <c r="H100" s="26"/>
      <c r="J100" s="23"/>
      <c r="M100" s="25"/>
      <c r="N100" s="26"/>
      <c r="P100" s="23"/>
      <c r="S100" s="9"/>
      <c r="T100" s="10"/>
      <c r="U100" s="1011"/>
      <c r="V100" s="23"/>
    </row>
    <row r="101" spans="1:22" x14ac:dyDescent="0.2">
      <c r="A101" s="1"/>
      <c r="B101" s="10"/>
      <c r="D101" s="23"/>
      <c r="G101" s="1011"/>
      <c r="H101" s="26"/>
      <c r="J101" s="23"/>
      <c r="M101" s="25"/>
      <c r="N101" s="26"/>
      <c r="P101" s="23"/>
      <c r="S101" s="9"/>
      <c r="T101" s="10"/>
      <c r="U101" s="1011"/>
      <c r="V101" s="23"/>
    </row>
    <row r="102" spans="1:22" x14ac:dyDescent="0.2">
      <c r="A102" s="24" t="s">
        <v>116</v>
      </c>
      <c r="B102" s="1" t="s">
        <v>117</v>
      </c>
      <c r="C102" s="1030">
        <f>C96+C79+C100</f>
        <v>142.49097143235022</v>
      </c>
      <c r="D102" s="1030">
        <f>D96+D79+D100</f>
        <v>192821.16214147917</v>
      </c>
      <c r="F102" s="1030"/>
      <c r="G102" s="1031"/>
      <c r="H102" s="24"/>
      <c r="I102" s="1030"/>
      <c r="J102" s="1026"/>
      <c r="M102" s="24"/>
      <c r="N102" s="24"/>
      <c r="O102" s="1030"/>
      <c r="P102" s="1026"/>
      <c r="S102" s="1"/>
      <c r="T102" s="1"/>
      <c r="U102" s="1031"/>
      <c r="V102" s="29"/>
    </row>
    <row r="103" spans="1:22" x14ac:dyDescent="0.2">
      <c r="B103" s="30" t="s">
        <v>1061</v>
      </c>
      <c r="C103" s="1011">
        <f>'2015 Factor % to units'!BC93</f>
        <v>142.49097143235019</v>
      </c>
    </row>
    <row r="104" spans="1:22" x14ac:dyDescent="0.2">
      <c r="B104" s="1" t="s">
        <v>934</v>
      </c>
      <c r="C104" s="1011">
        <f>C102-C103</f>
        <v>0</v>
      </c>
    </row>
    <row r="106" spans="1:22" x14ac:dyDescent="0.2">
      <c r="A106"/>
      <c r="D106" s="21"/>
    </row>
    <row r="108" spans="1:22" x14ac:dyDescent="0.2">
      <c r="D108" s="21"/>
    </row>
    <row r="112" spans="1:22" x14ac:dyDescent="0.2">
      <c r="A112" s="79" t="s">
        <v>249</v>
      </c>
      <c r="B112" s="79">
        <v>206189</v>
      </c>
    </row>
    <row r="113" spans="1:2" x14ac:dyDescent="0.2">
      <c r="A113" s="1158" t="s">
        <v>10</v>
      </c>
      <c r="B113" s="94">
        <v>2012</v>
      </c>
    </row>
    <row r="114" spans="1:2" x14ac:dyDescent="0.2">
      <c r="A114" s="1158" t="s">
        <v>73</v>
      </c>
      <c r="B114" s="94">
        <v>5414</v>
      </c>
    </row>
    <row r="115" spans="1:2" x14ac:dyDescent="0.2">
      <c r="A115" s="1158" t="s">
        <v>912</v>
      </c>
      <c r="B115" s="94">
        <v>4000</v>
      </c>
    </row>
    <row r="116" spans="1:2" x14ac:dyDescent="0.2">
      <c r="A116" s="79" t="s">
        <v>11</v>
      </c>
      <c r="B116" s="79">
        <v>2443</v>
      </c>
    </row>
    <row r="117" spans="1:2" x14ac:dyDescent="0.2">
      <c r="A117" s="1158" t="s">
        <v>94</v>
      </c>
      <c r="B117" s="94">
        <v>2442</v>
      </c>
    </row>
    <row r="118" spans="1:2" x14ac:dyDescent="0.2">
      <c r="A118" s="80" t="s">
        <v>252</v>
      </c>
      <c r="B118" s="80" t="s">
        <v>253</v>
      </c>
    </row>
    <row r="119" spans="1:2" x14ac:dyDescent="0.2">
      <c r="A119" s="79" t="s">
        <v>13</v>
      </c>
      <c r="B119" s="79">
        <v>2629</v>
      </c>
    </row>
    <row r="120" spans="1:2" x14ac:dyDescent="0.2">
      <c r="A120" s="1158" t="s">
        <v>14</v>
      </c>
      <c r="B120" s="94">
        <v>2509</v>
      </c>
    </row>
    <row r="121" spans="1:2" x14ac:dyDescent="0.2">
      <c r="A121" s="79" t="s">
        <v>2</v>
      </c>
      <c r="B121" s="79">
        <v>1014</v>
      </c>
    </row>
    <row r="122" spans="1:2" x14ac:dyDescent="0.2">
      <c r="A122" s="1158" t="s">
        <v>15</v>
      </c>
      <c r="B122" s="94">
        <v>2005</v>
      </c>
    </row>
    <row r="123" spans="1:2" x14ac:dyDescent="0.2">
      <c r="A123" s="79" t="s">
        <v>16</v>
      </c>
      <c r="B123" s="79">
        <v>2464</v>
      </c>
    </row>
    <row r="124" spans="1:2" x14ac:dyDescent="0.2">
      <c r="A124" s="661" t="s">
        <v>763</v>
      </c>
      <c r="B124" s="697" t="s">
        <v>765</v>
      </c>
    </row>
    <row r="125" spans="1:2" x14ac:dyDescent="0.2">
      <c r="A125" s="79" t="s">
        <v>17</v>
      </c>
      <c r="B125" s="79">
        <v>2004</v>
      </c>
    </row>
    <row r="126" spans="1:2" x14ac:dyDescent="0.2">
      <c r="A126" s="79" t="s">
        <v>18</v>
      </c>
      <c r="B126" s="79">
        <v>2405</v>
      </c>
    </row>
    <row r="127" spans="1:2" x14ac:dyDescent="0.2">
      <c r="A127" s="79" t="s">
        <v>254</v>
      </c>
      <c r="B127" s="79" t="s">
        <v>256</v>
      </c>
    </row>
    <row r="128" spans="1:2" ht="15" x14ac:dyDescent="0.25">
      <c r="A128" s="1160" t="s">
        <v>261</v>
      </c>
      <c r="B128" s="1162" t="s">
        <v>766</v>
      </c>
    </row>
    <row r="129" spans="1:2" x14ac:dyDescent="0.2">
      <c r="A129" s="1163" t="s">
        <v>257</v>
      </c>
      <c r="B129" s="1164" t="s">
        <v>258</v>
      </c>
    </row>
    <row r="130" spans="1:2" x14ac:dyDescent="0.2">
      <c r="A130" s="1160" t="s">
        <v>259</v>
      </c>
      <c r="B130" s="1165" t="s">
        <v>260</v>
      </c>
    </row>
    <row r="131" spans="1:2" x14ac:dyDescent="0.2">
      <c r="A131" s="79" t="s">
        <v>19</v>
      </c>
      <c r="B131" s="79">
        <v>2011</v>
      </c>
    </row>
    <row r="132" spans="1:2" x14ac:dyDescent="0.2">
      <c r="A132" s="80" t="s">
        <v>262</v>
      </c>
      <c r="B132" s="80" t="s">
        <v>263</v>
      </c>
    </row>
    <row r="133" spans="1:2" x14ac:dyDescent="0.2">
      <c r="A133" s="79" t="s">
        <v>20</v>
      </c>
      <c r="B133" s="79">
        <v>5201</v>
      </c>
    </row>
    <row r="134" spans="1:2" x14ac:dyDescent="0.2">
      <c r="A134" s="79" t="s">
        <v>264</v>
      </c>
      <c r="B134" s="79">
        <v>206124</v>
      </c>
    </row>
    <row r="135" spans="1:2" x14ac:dyDescent="0.2">
      <c r="A135" s="79" t="s">
        <v>21</v>
      </c>
      <c r="B135" s="79">
        <v>2433</v>
      </c>
    </row>
    <row r="136" spans="1:2" x14ac:dyDescent="0.2">
      <c r="A136" s="1158" t="s">
        <v>22</v>
      </c>
      <c r="B136" s="94">
        <v>2432</v>
      </c>
    </row>
    <row r="137" spans="1:2" x14ac:dyDescent="0.2">
      <c r="A137" s="79" t="s">
        <v>267</v>
      </c>
      <c r="B137" s="79" t="s">
        <v>269</v>
      </c>
    </row>
    <row r="138" spans="1:2" x14ac:dyDescent="0.2">
      <c r="A138" s="79" t="s">
        <v>199</v>
      </c>
      <c r="B138" s="79">
        <v>2447</v>
      </c>
    </row>
    <row r="139" spans="1:2" x14ac:dyDescent="0.2">
      <c r="A139" s="79" t="s">
        <v>23</v>
      </c>
      <c r="B139" s="79">
        <v>2512</v>
      </c>
    </row>
    <row r="140" spans="1:2" x14ac:dyDescent="0.2">
      <c r="A140" s="79" t="s">
        <v>270</v>
      </c>
      <c r="B140" s="79">
        <v>206126</v>
      </c>
    </row>
    <row r="141" spans="1:2" x14ac:dyDescent="0.2">
      <c r="A141" s="79" t="s">
        <v>272</v>
      </c>
      <c r="B141" s="79">
        <v>206111</v>
      </c>
    </row>
    <row r="142" spans="1:2" x14ac:dyDescent="0.2">
      <c r="A142" s="79" t="s">
        <v>274</v>
      </c>
      <c r="B142" s="79">
        <v>206091</v>
      </c>
    </row>
    <row r="143" spans="1:2" x14ac:dyDescent="0.2">
      <c r="A143" s="79" t="s">
        <v>24</v>
      </c>
      <c r="B143" s="79">
        <v>2456</v>
      </c>
    </row>
    <row r="144" spans="1:2" x14ac:dyDescent="0.2">
      <c r="A144" s="79" t="s">
        <v>3</v>
      </c>
      <c r="B144" s="79">
        <v>1017</v>
      </c>
    </row>
    <row r="145" spans="1:2" x14ac:dyDescent="0.2">
      <c r="A145" s="79" t="s">
        <v>25</v>
      </c>
      <c r="B145" s="79">
        <v>2449</v>
      </c>
    </row>
    <row r="146" spans="1:2" x14ac:dyDescent="0.2">
      <c r="A146" s="1158" t="s">
        <v>26</v>
      </c>
      <c r="B146" s="79">
        <v>2448</v>
      </c>
    </row>
    <row r="147" spans="1:2" x14ac:dyDescent="0.2">
      <c r="A147" s="79" t="s">
        <v>4</v>
      </c>
      <c r="B147" s="79">
        <v>1006</v>
      </c>
    </row>
    <row r="148" spans="1:2" x14ac:dyDescent="0.2">
      <c r="A148" s="79" t="s">
        <v>27</v>
      </c>
      <c r="B148" s="79">
        <v>2467</v>
      </c>
    </row>
    <row r="149" spans="1:2" x14ac:dyDescent="0.2">
      <c r="A149" s="1158" t="s">
        <v>75</v>
      </c>
      <c r="B149" s="94">
        <v>5402</v>
      </c>
    </row>
    <row r="150" spans="1:2" x14ac:dyDescent="0.2">
      <c r="A150" s="1158" t="s">
        <v>28</v>
      </c>
      <c r="B150" s="94">
        <v>2455</v>
      </c>
    </row>
    <row r="151" spans="1:2" x14ac:dyDescent="0.2">
      <c r="A151" s="1158" t="s">
        <v>29</v>
      </c>
      <c r="B151" s="94">
        <v>5203</v>
      </c>
    </row>
    <row r="152" spans="1:2" x14ac:dyDescent="0.2">
      <c r="A152" s="107" t="s">
        <v>30</v>
      </c>
      <c r="B152" s="79">
        <v>2451</v>
      </c>
    </row>
    <row r="153" spans="1:2" x14ac:dyDescent="0.2">
      <c r="A153" s="80" t="s">
        <v>276</v>
      </c>
      <c r="B153" s="80" t="s">
        <v>277</v>
      </c>
    </row>
    <row r="154" spans="1:2" x14ac:dyDescent="0.2">
      <c r="A154" s="79" t="s">
        <v>278</v>
      </c>
      <c r="B154" s="79">
        <v>206128</v>
      </c>
    </row>
    <row r="155" spans="1:2" x14ac:dyDescent="0.2">
      <c r="A155" s="1158" t="s">
        <v>452</v>
      </c>
      <c r="B155" s="94">
        <v>4002</v>
      </c>
    </row>
    <row r="156" spans="1:2" x14ac:dyDescent="0.2">
      <c r="A156" s="456" t="s">
        <v>455</v>
      </c>
      <c r="B156" s="79">
        <v>2430</v>
      </c>
    </row>
    <row r="157" spans="1:2" x14ac:dyDescent="0.2">
      <c r="A157" s="1167" t="s">
        <v>768</v>
      </c>
      <c r="B157" s="1169" t="s">
        <v>769</v>
      </c>
    </row>
    <row r="158" spans="1:2" x14ac:dyDescent="0.2">
      <c r="A158" s="1158" t="s">
        <v>68</v>
      </c>
      <c r="B158" s="94">
        <v>4608</v>
      </c>
    </row>
    <row r="159" spans="1:2" x14ac:dyDescent="0.2">
      <c r="A159" s="1158" t="s">
        <v>31</v>
      </c>
      <c r="B159" s="94">
        <v>2409</v>
      </c>
    </row>
    <row r="160" spans="1:2" x14ac:dyDescent="0.2">
      <c r="A160" s="1170" t="s">
        <v>281</v>
      </c>
      <c r="B160" s="1168" t="s">
        <v>282</v>
      </c>
    </row>
    <row r="161" spans="1:2" x14ac:dyDescent="0.2">
      <c r="A161" s="1171" t="s">
        <v>1401</v>
      </c>
      <c r="B161" s="1173" t="s">
        <v>771</v>
      </c>
    </row>
    <row r="162" spans="1:2" x14ac:dyDescent="0.2">
      <c r="A162" s="1174" t="s">
        <v>539</v>
      </c>
      <c r="B162" s="96">
        <v>205921</v>
      </c>
    </row>
    <row r="163" spans="1:2" x14ac:dyDescent="0.2">
      <c r="A163" s="1171" t="s">
        <v>1372</v>
      </c>
      <c r="B163" s="1154" t="s">
        <v>776</v>
      </c>
    </row>
    <row r="164" spans="1:2" x14ac:dyDescent="0.2">
      <c r="A164" s="1174" t="s">
        <v>538</v>
      </c>
      <c r="B164" s="96">
        <v>205999</v>
      </c>
    </row>
    <row r="165" spans="1:2" x14ac:dyDescent="0.2">
      <c r="A165" s="96" t="s">
        <v>537</v>
      </c>
      <c r="B165" s="95" t="s">
        <v>283</v>
      </c>
    </row>
    <row r="166" spans="1:2" x14ac:dyDescent="0.2">
      <c r="A166" s="1171" t="s">
        <v>1373</v>
      </c>
      <c r="B166" s="1153">
        <v>206065</v>
      </c>
    </row>
    <row r="167" spans="1:2" x14ac:dyDescent="0.2">
      <c r="A167" s="1175" t="s">
        <v>1375</v>
      </c>
      <c r="B167" s="1154" t="s">
        <v>787</v>
      </c>
    </row>
    <row r="168" spans="1:2" x14ac:dyDescent="0.2">
      <c r="A168" s="456" t="s">
        <v>589</v>
      </c>
      <c r="B168" s="1176" t="s">
        <v>288</v>
      </c>
    </row>
    <row r="169" spans="1:2" x14ac:dyDescent="0.2">
      <c r="A169" s="1177" t="s">
        <v>540</v>
      </c>
      <c r="B169" s="96">
        <v>205922</v>
      </c>
    </row>
    <row r="170" spans="1:2" x14ac:dyDescent="0.2">
      <c r="A170" s="456" t="s">
        <v>587</v>
      </c>
      <c r="B170" s="1154" t="s">
        <v>784</v>
      </c>
    </row>
    <row r="171" spans="1:2" x14ac:dyDescent="0.2">
      <c r="A171" s="1171" t="s">
        <v>1374</v>
      </c>
      <c r="B171" s="1154" t="s">
        <v>781</v>
      </c>
    </row>
    <row r="172" spans="1:2" x14ac:dyDescent="0.2">
      <c r="A172" s="1171" t="s">
        <v>1376</v>
      </c>
      <c r="B172" s="1178">
        <v>205919</v>
      </c>
    </row>
    <row r="173" spans="1:2" x14ac:dyDescent="0.2">
      <c r="A173" s="96" t="s">
        <v>541</v>
      </c>
      <c r="B173" s="95" t="s">
        <v>287</v>
      </c>
    </row>
    <row r="174" spans="1:2" x14ac:dyDescent="0.2">
      <c r="A174" s="1171" t="s">
        <v>1377</v>
      </c>
      <c r="B174" s="1179" t="s">
        <v>791</v>
      </c>
    </row>
    <row r="175" spans="1:2" x14ac:dyDescent="0.2">
      <c r="A175" s="1171" t="s">
        <v>1378</v>
      </c>
      <c r="B175" s="1169" t="s">
        <v>793</v>
      </c>
    </row>
    <row r="176" spans="1:2" x14ac:dyDescent="0.2">
      <c r="A176" s="1180" t="s">
        <v>1380</v>
      </c>
      <c r="B176" s="1154" t="s">
        <v>796</v>
      </c>
    </row>
    <row r="177" spans="1:2" x14ac:dyDescent="0.2">
      <c r="A177" s="1181" t="s">
        <v>1379</v>
      </c>
      <c r="B177" s="697">
        <v>205849</v>
      </c>
    </row>
    <row r="178" spans="1:2" x14ac:dyDescent="0.2">
      <c r="A178" s="456" t="s">
        <v>594</v>
      </c>
      <c r="B178" s="1176" t="s">
        <v>284</v>
      </c>
    </row>
    <row r="179" spans="1:2" x14ac:dyDescent="0.2">
      <c r="A179" s="1182" t="s">
        <v>1381</v>
      </c>
      <c r="B179" s="1154" t="s">
        <v>798</v>
      </c>
    </row>
    <row r="180" spans="1:2" x14ac:dyDescent="0.2">
      <c r="A180" s="1183" t="s">
        <v>1385</v>
      </c>
      <c r="B180" s="1184">
        <v>205922</v>
      </c>
    </row>
    <row r="181" spans="1:2" x14ac:dyDescent="0.2">
      <c r="A181" s="1185" t="s">
        <v>1384</v>
      </c>
      <c r="B181" s="1179">
        <v>205881</v>
      </c>
    </row>
    <row r="182" spans="1:2" x14ac:dyDescent="0.2">
      <c r="A182" s="1186" t="s">
        <v>1382</v>
      </c>
      <c r="B182" s="1187" t="s">
        <v>801</v>
      </c>
    </row>
    <row r="183" spans="1:2" x14ac:dyDescent="0.2">
      <c r="A183" s="1174" t="s">
        <v>542</v>
      </c>
      <c r="B183" s="96" t="s">
        <v>289</v>
      </c>
    </row>
    <row r="184" spans="1:2" x14ac:dyDescent="0.2">
      <c r="A184" s="1171" t="s">
        <v>1383</v>
      </c>
      <c r="B184" s="1179" t="s">
        <v>806</v>
      </c>
    </row>
    <row r="185" spans="1:2" x14ac:dyDescent="0.2">
      <c r="A185" s="1185" t="s">
        <v>807</v>
      </c>
      <c r="B185" s="1179" t="s">
        <v>808</v>
      </c>
    </row>
    <row r="186" spans="1:2" x14ac:dyDescent="0.2">
      <c r="A186" s="1185" t="s">
        <v>1386</v>
      </c>
      <c r="B186" s="1189" t="s">
        <v>811</v>
      </c>
    </row>
    <row r="187" spans="1:2" x14ac:dyDescent="0.2">
      <c r="A187" s="1181" t="s">
        <v>543</v>
      </c>
      <c r="B187" s="96">
        <v>2</v>
      </c>
    </row>
    <row r="188" spans="1:2" x14ac:dyDescent="0.2">
      <c r="A188" s="1192" t="s">
        <v>1387</v>
      </c>
      <c r="B188" s="1150" t="s">
        <v>668</v>
      </c>
    </row>
    <row r="189" spans="1:2" x14ac:dyDescent="0.2">
      <c r="A189" s="693" t="s">
        <v>1388</v>
      </c>
      <c r="B189" s="1179" t="s">
        <v>686</v>
      </c>
    </row>
    <row r="190" spans="1:2" x14ac:dyDescent="0.2">
      <c r="A190" s="96" t="s">
        <v>544</v>
      </c>
      <c r="B190" s="1184">
        <v>205956</v>
      </c>
    </row>
    <row r="191" spans="1:2" x14ac:dyDescent="0.2">
      <c r="A191" s="702" t="s">
        <v>1389</v>
      </c>
      <c r="B191" s="1169">
        <v>260849</v>
      </c>
    </row>
    <row r="192" spans="1:2" x14ac:dyDescent="0.2">
      <c r="A192" s="693" t="s">
        <v>1390</v>
      </c>
      <c r="B192" s="1169" t="s">
        <v>818</v>
      </c>
    </row>
    <row r="193" spans="1:2" x14ac:dyDescent="0.2">
      <c r="A193" s="1193" t="s">
        <v>1391</v>
      </c>
      <c r="B193" s="1165" t="s">
        <v>291</v>
      </c>
    </row>
    <row r="194" spans="1:2" x14ac:dyDescent="0.2">
      <c r="A194" s="1145" t="s">
        <v>1392</v>
      </c>
      <c r="B194" s="1154" t="s">
        <v>821</v>
      </c>
    </row>
    <row r="195" spans="1:2" x14ac:dyDescent="0.2">
      <c r="A195" s="1142" t="s">
        <v>1394</v>
      </c>
      <c r="B195" s="1154" t="s">
        <v>825</v>
      </c>
    </row>
    <row r="196" spans="1:2" x14ac:dyDescent="0.2">
      <c r="A196" s="1142" t="s">
        <v>1393</v>
      </c>
      <c r="B196" s="1189" t="s">
        <v>823</v>
      </c>
    </row>
    <row r="197" spans="1:2" x14ac:dyDescent="0.2">
      <c r="A197" s="583" t="s">
        <v>1396</v>
      </c>
      <c r="B197" s="1154" t="s">
        <v>830</v>
      </c>
    </row>
    <row r="198" spans="1:2" x14ac:dyDescent="0.2">
      <c r="A198" s="1143" t="s">
        <v>1395</v>
      </c>
      <c r="B198" s="1154" t="s">
        <v>827</v>
      </c>
    </row>
    <row r="199" spans="1:2" x14ac:dyDescent="0.2">
      <c r="A199" s="1181" t="s">
        <v>591</v>
      </c>
      <c r="B199" s="95" t="s">
        <v>293</v>
      </c>
    </row>
    <row r="200" spans="1:2" x14ac:dyDescent="0.2">
      <c r="A200" s="1142" t="s">
        <v>1402</v>
      </c>
      <c r="B200" s="697" t="s">
        <v>833</v>
      </c>
    </row>
    <row r="201" spans="1:2" x14ac:dyDescent="0.2">
      <c r="A201" s="1142" t="s">
        <v>1403</v>
      </c>
      <c r="B201" s="1154" t="s">
        <v>835</v>
      </c>
    </row>
    <row r="202" spans="1:2" x14ac:dyDescent="0.2">
      <c r="A202" s="1174" t="s">
        <v>547</v>
      </c>
      <c r="B202" s="95" t="s">
        <v>295</v>
      </c>
    </row>
    <row r="203" spans="1:2" x14ac:dyDescent="0.2">
      <c r="A203" s="1148" t="s">
        <v>1397</v>
      </c>
      <c r="B203" s="1154">
        <v>206031</v>
      </c>
    </row>
    <row r="204" spans="1:2" x14ac:dyDescent="0.2">
      <c r="A204" s="1174" t="s">
        <v>546</v>
      </c>
      <c r="B204" s="95" t="s">
        <v>296</v>
      </c>
    </row>
    <row r="205" spans="1:2" x14ac:dyDescent="0.2">
      <c r="A205" s="96" t="s">
        <v>545</v>
      </c>
      <c r="B205" s="95" t="s">
        <v>294</v>
      </c>
    </row>
    <row r="206" spans="1:2" x14ac:dyDescent="0.2">
      <c r="A206" s="1143" t="s">
        <v>1398</v>
      </c>
      <c r="B206" s="1154" t="s">
        <v>840</v>
      </c>
    </row>
    <row r="207" spans="1:2" x14ac:dyDescent="0.2">
      <c r="A207" s="96" t="s">
        <v>1371</v>
      </c>
      <c r="B207" s="95" t="s">
        <v>298</v>
      </c>
    </row>
    <row r="208" spans="1:2" x14ac:dyDescent="0.2">
      <c r="A208" s="1143" t="s">
        <v>1407</v>
      </c>
      <c r="B208" s="1179" t="s">
        <v>844</v>
      </c>
    </row>
    <row r="209" spans="1:2" x14ac:dyDescent="0.2">
      <c r="A209" s="1181" t="s">
        <v>592</v>
      </c>
      <c r="B209" s="1184">
        <v>206043</v>
      </c>
    </row>
    <row r="210" spans="1:2" x14ac:dyDescent="0.2">
      <c r="A210" s="1177" t="s">
        <v>548</v>
      </c>
      <c r="B210" s="95" t="s">
        <v>299</v>
      </c>
    </row>
    <row r="211" spans="1:2" x14ac:dyDescent="0.2">
      <c r="A211" s="1194" t="s">
        <v>590</v>
      </c>
      <c r="B211" s="1195" t="s">
        <v>292</v>
      </c>
    </row>
    <row r="212" spans="1:2" x14ac:dyDescent="0.2">
      <c r="A212" s="1196" t="s">
        <v>593</v>
      </c>
      <c r="B212" s="1197" t="s">
        <v>297</v>
      </c>
    </row>
    <row r="213" spans="1:2" x14ac:dyDescent="0.2">
      <c r="A213" s="1143" t="s">
        <v>1406</v>
      </c>
      <c r="B213" s="1154">
        <v>206067</v>
      </c>
    </row>
    <row r="214" spans="1:2" ht="15" x14ac:dyDescent="0.2">
      <c r="A214" s="1177" t="s">
        <v>549</v>
      </c>
      <c r="B214" s="97" t="s">
        <v>300</v>
      </c>
    </row>
    <row r="215" spans="1:2" x14ac:dyDescent="0.2">
      <c r="A215" s="1190" t="s">
        <v>1400</v>
      </c>
      <c r="B215" s="1191" t="s">
        <v>290</v>
      </c>
    </row>
    <row r="216" spans="1:2" x14ac:dyDescent="0.2">
      <c r="A216" s="1198" t="s">
        <v>550</v>
      </c>
      <c r="B216" s="98" t="s">
        <v>301</v>
      </c>
    </row>
    <row r="217" spans="1:2" x14ac:dyDescent="0.2">
      <c r="A217" s="1147" t="s">
        <v>1404</v>
      </c>
      <c r="B217" s="1209" t="s">
        <v>854</v>
      </c>
    </row>
    <row r="218" spans="1:2" x14ac:dyDescent="0.2">
      <c r="A218" s="456" t="s">
        <v>595</v>
      </c>
      <c r="B218" s="1176" t="s">
        <v>285</v>
      </c>
    </row>
    <row r="219" spans="1:2" x14ac:dyDescent="0.2">
      <c r="A219" s="1147" t="s">
        <v>1405</v>
      </c>
      <c r="B219" s="1209" t="s">
        <v>856</v>
      </c>
    </row>
    <row r="220" spans="1:2" x14ac:dyDescent="0.2">
      <c r="A220" s="87" t="s">
        <v>302</v>
      </c>
      <c r="B220" s="88" t="s">
        <v>303</v>
      </c>
    </row>
    <row r="221" spans="1:2" x14ac:dyDescent="0.2">
      <c r="A221" s="79" t="s">
        <v>304</v>
      </c>
      <c r="B221" s="79" t="s">
        <v>306</v>
      </c>
    </row>
    <row r="222" spans="1:2" x14ac:dyDescent="0.2">
      <c r="A222" s="1144" t="s">
        <v>858</v>
      </c>
      <c r="B222" s="1169" t="s">
        <v>859</v>
      </c>
    </row>
    <row r="223" spans="1:2" x14ac:dyDescent="0.2">
      <c r="A223" s="1158" t="s">
        <v>111</v>
      </c>
      <c r="B223" s="94">
        <v>4178</v>
      </c>
    </row>
    <row r="224" spans="1:2" x14ac:dyDescent="0.2">
      <c r="A224" s="1158" t="s">
        <v>98</v>
      </c>
      <c r="B224" s="94">
        <v>3158</v>
      </c>
    </row>
    <row r="225" spans="1:2" x14ac:dyDescent="0.2">
      <c r="A225" s="79" t="s">
        <v>32</v>
      </c>
      <c r="B225" s="79">
        <v>2619</v>
      </c>
    </row>
    <row r="226" spans="1:2" x14ac:dyDescent="0.2">
      <c r="A226" s="1141" t="s">
        <v>860</v>
      </c>
      <c r="B226" s="1154" t="s">
        <v>861</v>
      </c>
    </row>
    <row r="227" spans="1:2" x14ac:dyDescent="0.2">
      <c r="A227" s="79" t="s">
        <v>307</v>
      </c>
      <c r="B227" s="80" t="s">
        <v>308</v>
      </c>
    </row>
    <row r="228" spans="1:2" x14ac:dyDescent="0.2">
      <c r="A228" s="79" t="s">
        <v>309</v>
      </c>
      <c r="B228" s="79">
        <v>258417</v>
      </c>
    </row>
    <row r="229" spans="1:2" x14ac:dyDescent="0.2">
      <c r="A229" s="79" t="s">
        <v>311</v>
      </c>
      <c r="B229" s="79" t="s">
        <v>313</v>
      </c>
    </row>
    <row r="230" spans="1:2" x14ac:dyDescent="0.2">
      <c r="A230" s="79" t="s">
        <v>314</v>
      </c>
      <c r="B230" s="79" t="s">
        <v>316</v>
      </c>
    </row>
    <row r="231" spans="1:2" x14ac:dyDescent="0.2">
      <c r="A231" s="79" t="s">
        <v>33</v>
      </c>
      <c r="B231" s="79">
        <v>2518</v>
      </c>
    </row>
    <row r="232" spans="1:2" x14ac:dyDescent="0.2">
      <c r="A232" s="1141" t="s">
        <v>862</v>
      </c>
      <c r="B232" s="1210" t="s">
        <v>863</v>
      </c>
    </row>
    <row r="233" spans="1:2" x14ac:dyDescent="0.2">
      <c r="A233" s="79" t="s">
        <v>317</v>
      </c>
      <c r="B233" s="79">
        <v>206106</v>
      </c>
    </row>
    <row r="234" spans="1:2" x14ac:dyDescent="0.2">
      <c r="A234" s="80" t="s">
        <v>319</v>
      </c>
      <c r="B234" s="80" t="s">
        <v>320</v>
      </c>
    </row>
    <row r="235" spans="1:2" x14ac:dyDescent="0.2">
      <c r="A235" s="1144" t="s">
        <v>864</v>
      </c>
      <c r="B235" s="1169" t="s">
        <v>865</v>
      </c>
    </row>
    <row r="236" spans="1:2" x14ac:dyDescent="0.2">
      <c r="A236" s="1158" t="s">
        <v>34</v>
      </c>
      <c r="B236" s="94">
        <v>2457</v>
      </c>
    </row>
    <row r="237" spans="1:2" x14ac:dyDescent="0.2">
      <c r="A237" s="1158" t="s">
        <v>99</v>
      </c>
      <c r="B237" s="79">
        <v>2010</v>
      </c>
    </row>
    <row r="238" spans="1:2" x14ac:dyDescent="0.2">
      <c r="A238" s="79" t="s">
        <v>35</v>
      </c>
      <c r="B238" s="79">
        <v>2002</v>
      </c>
    </row>
    <row r="239" spans="1:2" x14ac:dyDescent="0.2">
      <c r="A239" s="79" t="s">
        <v>36</v>
      </c>
      <c r="B239" s="79">
        <v>3544</v>
      </c>
    </row>
    <row r="240" spans="1:2" x14ac:dyDescent="0.2">
      <c r="A240" s="79" t="s">
        <v>5</v>
      </c>
      <c r="B240" s="79">
        <v>1008</v>
      </c>
    </row>
    <row r="241" spans="1:2" x14ac:dyDescent="0.2">
      <c r="A241" s="79" t="s">
        <v>321</v>
      </c>
      <c r="B241" s="79" t="s">
        <v>322</v>
      </c>
    </row>
    <row r="242" spans="1:2" x14ac:dyDescent="0.2">
      <c r="A242" s="79" t="s">
        <v>100</v>
      </c>
      <c r="B242" s="79">
        <v>2006</v>
      </c>
    </row>
    <row r="243" spans="1:2" x14ac:dyDescent="0.2">
      <c r="A243" s="80" t="s">
        <v>323</v>
      </c>
      <c r="B243" s="80" t="s">
        <v>324</v>
      </c>
    </row>
    <row r="244" spans="1:2" x14ac:dyDescent="0.2">
      <c r="A244" s="79" t="s">
        <v>325</v>
      </c>
      <c r="B244" s="79">
        <v>206133</v>
      </c>
    </row>
    <row r="245" spans="1:2" x14ac:dyDescent="0.2">
      <c r="A245" s="1149" t="s">
        <v>867</v>
      </c>
      <c r="B245" s="1169" t="s">
        <v>868</v>
      </c>
    </row>
    <row r="246" spans="1:2" x14ac:dyDescent="0.2">
      <c r="A246" s="79" t="s">
        <v>327</v>
      </c>
      <c r="B246" s="79" t="s">
        <v>329</v>
      </c>
    </row>
    <row r="247" spans="1:2" x14ac:dyDescent="0.2">
      <c r="A247" s="79" t="s">
        <v>330</v>
      </c>
      <c r="B247" s="79">
        <v>206134</v>
      </c>
    </row>
    <row r="248" spans="1:2" x14ac:dyDescent="0.2">
      <c r="A248" s="79" t="s">
        <v>334</v>
      </c>
      <c r="B248" s="79" t="s">
        <v>335</v>
      </c>
    </row>
    <row r="249" spans="1:2" x14ac:dyDescent="0.2">
      <c r="A249" s="1199" t="s">
        <v>332</v>
      </c>
      <c r="B249" s="1200" t="s">
        <v>333</v>
      </c>
    </row>
    <row r="250" spans="1:2" x14ac:dyDescent="0.2">
      <c r="A250" s="79" t="s">
        <v>336</v>
      </c>
      <c r="B250" s="79" t="s">
        <v>337</v>
      </c>
    </row>
    <row r="251" spans="1:2" x14ac:dyDescent="0.2">
      <c r="A251" s="79" t="s">
        <v>338</v>
      </c>
      <c r="B251" s="79">
        <v>206109</v>
      </c>
    </row>
    <row r="252" spans="1:2" x14ac:dyDescent="0.2">
      <c r="A252" s="79" t="s">
        <v>37</v>
      </c>
      <c r="B252" s="79">
        <v>2434</v>
      </c>
    </row>
    <row r="253" spans="1:2" x14ac:dyDescent="0.2">
      <c r="A253" s="1161" t="s">
        <v>597</v>
      </c>
      <c r="B253" s="147">
        <v>6905</v>
      </c>
    </row>
    <row r="254" spans="1:2" x14ac:dyDescent="0.2">
      <c r="A254" s="1158" t="s">
        <v>42</v>
      </c>
      <c r="B254" s="94">
        <v>2009</v>
      </c>
    </row>
    <row r="255" spans="1:2" x14ac:dyDescent="0.2">
      <c r="A255" s="1158" t="s">
        <v>38</v>
      </c>
      <c r="B255" s="94">
        <v>2522</v>
      </c>
    </row>
    <row r="256" spans="1:2" x14ac:dyDescent="0.2">
      <c r="A256" s="79" t="s">
        <v>340</v>
      </c>
      <c r="B256" s="79">
        <v>206110</v>
      </c>
    </row>
    <row r="257" spans="1:2" x14ac:dyDescent="0.2">
      <c r="A257" s="79" t="s">
        <v>342</v>
      </c>
      <c r="B257" s="79">
        <v>206135</v>
      </c>
    </row>
    <row r="258" spans="1:2" x14ac:dyDescent="0.2">
      <c r="A258" s="1158" t="s">
        <v>69</v>
      </c>
      <c r="B258" s="94">
        <v>4181</v>
      </c>
    </row>
    <row r="259" spans="1:2" x14ac:dyDescent="0.2">
      <c r="A259" s="79" t="s">
        <v>344</v>
      </c>
      <c r="B259" s="79">
        <v>509195</v>
      </c>
    </row>
    <row r="260" spans="1:2" x14ac:dyDescent="0.2">
      <c r="A260" s="87" t="s">
        <v>346</v>
      </c>
      <c r="B260" s="88" t="s">
        <v>347</v>
      </c>
    </row>
    <row r="261" spans="1:2" x14ac:dyDescent="0.2">
      <c r="A261" s="1201" t="s">
        <v>348</v>
      </c>
      <c r="B261" s="1202" t="s">
        <v>349</v>
      </c>
    </row>
    <row r="262" spans="1:2" x14ac:dyDescent="0.2">
      <c r="A262" s="79" t="s">
        <v>350</v>
      </c>
      <c r="B262" s="79" t="s">
        <v>352</v>
      </c>
    </row>
    <row r="263" spans="1:2" x14ac:dyDescent="0.2">
      <c r="A263" s="79" t="s">
        <v>353</v>
      </c>
      <c r="B263" s="79">
        <v>509199</v>
      </c>
    </row>
    <row r="264" spans="1:2" x14ac:dyDescent="0.2">
      <c r="A264" s="79" t="s">
        <v>355</v>
      </c>
      <c r="B264" s="79">
        <v>509197</v>
      </c>
    </row>
    <row r="265" spans="1:2" x14ac:dyDescent="0.2">
      <c r="A265" s="1151" t="s">
        <v>870</v>
      </c>
      <c r="B265" s="1211">
        <v>479383</v>
      </c>
    </row>
    <row r="266" spans="1:2" x14ac:dyDescent="0.2">
      <c r="A266" s="1170" t="s">
        <v>360</v>
      </c>
      <c r="B266" s="1168" t="s">
        <v>361</v>
      </c>
    </row>
    <row r="267" spans="1:2" x14ac:dyDescent="0.2">
      <c r="A267" s="1158" t="s">
        <v>70</v>
      </c>
      <c r="B267" s="94">
        <v>4182</v>
      </c>
    </row>
    <row r="268" spans="1:2" x14ac:dyDescent="0.2">
      <c r="A268" s="79" t="s">
        <v>357</v>
      </c>
      <c r="B268" s="79" t="s">
        <v>359</v>
      </c>
    </row>
    <row r="269" spans="1:2" x14ac:dyDescent="0.2">
      <c r="A269" s="79" t="s">
        <v>6</v>
      </c>
      <c r="B269" s="79">
        <v>1005</v>
      </c>
    </row>
    <row r="270" spans="1:2" x14ac:dyDescent="0.2">
      <c r="A270" s="489" t="s">
        <v>871</v>
      </c>
      <c r="B270" s="1179" t="s">
        <v>872</v>
      </c>
    </row>
    <row r="271" spans="1:2" x14ac:dyDescent="0.2">
      <c r="A271" s="1158" t="s">
        <v>39</v>
      </c>
      <c r="B271" s="94">
        <v>2436</v>
      </c>
    </row>
    <row r="272" spans="1:2" x14ac:dyDescent="0.2">
      <c r="A272" s="79" t="s">
        <v>362</v>
      </c>
      <c r="B272" s="79">
        <v>206117</v>
      </c>
    </row>
    <row r="273" spans="1:2" x14ac:dyDescent="0.2">
      <c r="A273" s="79" t="s">
        <v>40</v>
      </c>
      <c r="B273" s="79">
        <v>2452</v>
      </c>
    </row>
    <row r="274" spans="1:2" x14ac:dyDescent="0.2">
      <c r="A274" s="1158" t="s">
        <v>71</v>
      </c>
      <c r="B274" s="94">
        <v>4001</v>
      </c>
    </row>
    <row r="275" spans="1:2" x14ac:dyDescent="0.2">
      <c r="A275" s="79" t="s">
        <v>364</v>
      </c>
      <c r="B275" s="79">
        <v>206141</v>
      </c>
    </row>
    <row r="276" spans="1:2" x14ac:dyDescent="0.2">
      <c r="A276" s="1158" t="s">
        <v>41</v>
      </c>
      <c r="B276" s="94">
        <v>2627</v>
      </c>
    </row>
    <row r="277" spans="1:2" x14ac:dyDescent="0.2">
      <c r="A277" s="1158" t="s">
        <v>112</v>
      </c>
      <c r="B277" s="94">
        <v>5406</v>
      </c>
    </row>
    <row r="278" spans="1:2" x14ac:dyDescent="0.2">
      <c r="A278" s="1158" t="s">
        <v>113</v>
      </c>
      <c r="B278" s="94">
        <v>5407</v>
      </c>
    </row>
    <row r="279" spans="1:2" x14ac:dyDescent="0.2">
      <c r="A279" s="79" t="s">
        <v>366</v>
      </c>
      <c r="B279" s="79" t="s">
        <v>368</v>
      </c>
    </row>
    <row r="280" spans="1:2" x14ac:dyDescent="0.2">
      <c r="A280" s="79" t="s">
        <v>369</v>
      </c>
      <c r="B280" s="79">
        <v>258404</v>
      </c>
    </row>
    <row r="281" spans="1:2" x14ac:dyDescent="0.2">
      <c r="A281" s="1158" t="s">
        <v>101</v>
      </c>
      <c r="B281" s="79">
        <v>2473</v>
      </c>
    </row>
    <row r="282" spans="1:2" x14ac:dyDescent="0.2">
      <c r="A282" s="1158" t="s">
        <v>44</v>
      </c>
      <c r="B282" s="94">
        <v>2471</v>
      </c>
    </row>
    <row r="283" spans="1:2" x14ac:dyDescent="0.2">
      <c r="A283" s="79" t="s">
        <v>371</v>
      </c>
      <c r="B283" s="79">
        <v>258405</v>
      </c>
    </row>
    <row r="284" spans="1:2" x14ac:dyDescent="0.2">
      <c r="A284" s="79" t="s">
        <v>373</v>
      </c>
      <c r="B284" s="79">
        <v>258406</v>
      </c>
    </row>
    <row r="285" spans="1:2" x14ac:dyDescent="0.2">
      <c r="A285" s="79" t="s">
        <v>43</v>
      </c>
      <c r="B285" s="79">
        <v>2420</v>
      </c>
    </row>
    <row r="286" spans="1:2" x14ac:dyDescent="0.2">
      <c r="A286" s="79" t="s">
        <v>375</v>
      </c>
      <c r="B286" s="79">
        <v>206160</v>
      </c>
    </row>
    <row r="287" spans="1:2" x14ac:dyDescent="0.2">
      <c r="A287" s="79" t="s">
        <v>45</v>
      </c>
      <c r="B287" s="79">
        <v>2003</v>
      </c>
    </row>
    <row r="288" spans="1:2" x14ac:dyDescent="0.2">
      <c r="A288" s="1158" t="s">
        <v>46</v>
      </c>
      <c r="B288" s="94">
        <v>2423</v>
      </c>
    </row>
    <row r="289" spans="1:2" x14ac:dyDescent="0.2">
      <c r="A289" s="1158" t="s">
        <v>47</v>
      </c>
      <c r="B289" s="94">
        <v>2424</v>
      </c>
    </row>
    <row r="290" spans="1:2" x14ac:dyDescent="0.2">
      <c r="A290" s="79" t="s">
        <v>377</v>
      </c>
      <c r="B290" s="79" t="s">
        <v>379</v>
      </c>
    </row>
    <row r="291" spans="1:2" x14ac:dyDescent="0.2">
      <c r="A291" s="726" t="s">
        <v>873</v>
      </c>
      <c r="B291" s="1179" t="s">
        <v>874</v>
      </c>
    </row>
    <row r="292" spans="1:2" x14ac:dyDescent="0.2">
      <c r="A292" s="79" t="s">
        <v>382</v>
      </c>
      <c r="B292" s="79" t="s">
        <v>384</v>
      </c>
    </row>
    <row r="293" spans="1:2" x14ac:dyDescent="0.2">
      <c r="A293" s="79" t="s">
        <v>385</v>
      </c>
      <c r="B293" s="79">
        <v>206146</v>
      </c>
    </row>
    <row r="294" spans="1:2" x14ac:dyDescent="0.2">
      <c r="A294" s="1158" t="s">
        <v>48</v>
      </c>
      <c r="B294" s="94">
        <v>2439</v>
      </c>
    </row>
    <row r="295" spans="1:2" x14ac:dyDescent="0.2">
      <c r="A295" s="1158" t="s">
        <v>49</v>
      </c>
      <c r="B295" s="94">
        <v>2440</v>
      </c>
    </row>
    <row r="296" spans="1:2" x14ac:dyDescent="0.2">
      <c r="A296" s="80" t="s">
        <v>387</v>
      </c>
      <c r="B296" s="80" t="s">
        <v>388</v>
      </c>
    </row>
    <row r="297" spans="1:2" x14ac:dyDescent="0.2">
      <c r="A297" s="1158" t="s">
        <v>102</v>
      </c>
      <c r="B297" s="79">
        <v>2462</v>
      </c>
    </row>
    <row r="298" spans="1:2" x14ac:dyDescent="0.2">
      <c r="A298" s="1158" t="s">
        <v>50</v>
      </c>
      <c r="B298" s="94">
        <v>2463</v>
      </c>
    </row>
    <row r="299" spans="1:2" x14ac:dyDescent="0.2">
      <c r="A299" s="79" t="s">
        <v>51</v>
      </c>
      <c r="B299" s="79">
        <v>2505</v>
      </c>
    </row>
    <row r="300" spans="1:2" x14ac:dyDescent="0.2">
      <c r="A300" s="79" t="s">
        <v>52</v>
      </c>
      <c r="B300" s="79">
        <v>2000</v>
      </c>
    </row>
    <row r="301" spans="1:2" x14ac:dyDescent="0.2">
      <c r="A301" s="1158" t="s">
        <v>53</v>
      </c>
      <c r="B301" s="94">
        <v>2458</v>
      </c>
    </row>
    <row r="302" spans="1:2" x14ac:dyDescent="0.2">
      <c r="A302" s="79" t="s">
        <v>392</v>
      </c>
      <c r="B302" s="79" t="s">
        <v>394</v>
      </c>
    </row>
    <row r="303" spans="1:2" x14ac:dyDescent="0.2">
      <c r="A303" s="79" t="s">
        <v>54</v>
      </c>
      <c r="B303" s="79">
        <v>2001</v>
      </c>
    </row>
    <row r="304" spans="1:2" x14ac:dyDescent="0.2">
      <c r="A304" s="80" t="s">
        <v>395</v>
      </c>
      <c r="B304" s="80" t="s">
        <v>396</v>
      </c>
    </row>
    <row r="305" spans="1:2" x14ac:dyDescent="0.2">
      <c r="A305" s="79" t="s">
        <v>55</v>
      </c>
      <c r="B305" s="79">
        <v>2429</v>
      </c>
    </row>
    <row r="306" spans="1:2" x14ac:dyDescent="0.2">
      <c r="A306" s="79" t="s">
        <v>397</v>
      </c>
      <c r="B306" s="79">
        <v>113044</v>
      </c>
    </row>
    <row r="307" spans="1:2" x14ac:dyDescent="0.2">
      <c r="A307" s="79" t="s">
        <v>399</v>
      </c>
      <c r="B307" s="79" t="s">
        <v>401</v>
      </c>
    </row>
    <row r="308" spans="1:2" x14ac:dyDescent="0.2">
      <c r="A308" s="1158" t="s">
        <v>72</v>
      </c>
      <c r="B308" s="94">
        <v>4607</v>
      </c>
    </row>
    <row r="309" spans="1:2" x14ac:dyDescent="0.2">
      <c r="A309" s="665" t="s">
        <v>881</v>
      </c>
      <c r="B309" s="1169" t="s">
        <v>882</v>
      </c>
    </row>
    <row r="310" spans="1:2" x14ac:dyDescent="0.2">
      <c r="A310" s="726" t="s">
        <v>883</v>
      </c>
      <c r="B310" s="1154" t="s">
        <v>884</v>
      </c>
    </row>
    <row r="311" spans="1:2" x14ac:dyDescent="0.2">
      <c r="A311" s="79" t="s">
        <v>56</v>
      </c>
      <c r="B311" s="79">
        <v>2444</v>
      </c>
    </row>
    <row r="312" spans="1:2" x14ac:dyDescent="0.2">
      <c r="A312" s="1158" t="s">
        <v>57</v>
      </c>
      <c r="B312" s="94">
        <v>5209</v>
      </c>
    </row>
    <row r="313" spans="1:2" x14ac:dyDescent="0.2">
      <c r="A313" s="79" t="s">
        <v>402</v>
      </c>
      <c r="B313" s="79" t="s">
        <v>404</v>
      </c>
    </row>
    <row r="314" spans="1:2" x14ac:dyDescent="0.2">
      <c r="A314" s="79" t="s">
        <v>405</v>
      </c>
      <c r="B314" s="79" t="s">
        <v>407</v>
      </c>
    </row>
    <row r="315" spans="1:2" x14ac:dyDescent="0.2">
      <c r="A315" s="1158" t="s">
        <v>58</v>
      </c>
      <c r="B315" s="94">
        <v>2469</v>
      </c>
    </row>
    <row r="316" spans="1:2" x14ac:dyDescent="0.2">
      <c r="A316" s="79" t="s">
        <v>408</v>
      </c>
      <c r="B316" s="79" t="s">
        <v>410</v>
      </c>
    </row>
    <row r="317" spans="1:2" x14ac:dyDescent="0.2">
      <c r="A317" s="99" t="s">
        <v>411</v>
      </c>
      <c r="B317" s="99" t="s">
        <v>412</v>
      </c>
    </row>
    <row r="318" spans="1:2" x14ac:dyDescent="0.2">
      <c r="A318" s="1158" t="s">
        <v>59</v>
      </c>
      <c r="B318" s="94">
        <v>2466</v>
      </c>
    </row>
    <row r="319" spans="1:2" x14ac:dyDescent="0.2">
      <c r="A319" s="79" t="s">
        <v>60</v>
      </c>
      <c r="B319" s="79">
        <v>3543</v>
      </c>
    </row>
    <row r="320" spans="1:2" x14ac:dyDescent="0.2">
      <c r="A320" s="79" t="s">
        <v>413</v>
      </c>
      <c r="B320" s="79">
        <v>206152</v>
      </c>
    </row>
    <row r="321" spans="1:2" x14ac:dyDescent="0.2">
      <c r="A321" s="79" t="s">
        <v>415</v>
      </c>
      <c r="B321" s="79">
        <v>206153</v>
      </c>
    </row>
    <row r="322" spans="1:2" x14ac:dyDescent="0.2">
      <c r="A322" s="1158" t="s">
        <v>62</v>
      </c>
      <c r="B322" s="94">
        <v>3531</v>
      </c>
    </row>
    <row r="323" spans="1:2" x14ac:dyDescent="0.2">
      <c r="A323" s="79" t="s">
        <v>63</v>
      </c>
      <c r="B323" s="79">
        <v>3526</v>
      </c>
    </row>
    <row r="324" spans="1:2" x14ac:dyDescent="0.2">
      <c r="A324" s="1158" t="s">
        <v>104</v>
      </c>
      <c r="B324" s="94">
        <v>3535</v>
      </c>
    </row>
    <row r="325" spans="1:2" x14ac:dyDescent="0.2">
      <c r="A325" s="1203" t="s">
        <v>64</v>
      </c>
      <c r="B325" s="94">
        <v>2008</v>
      </c>
    </row>
    <row r="326" spans="1:2" x14ac:dyDescent="0.2">
      <c r="A326" s="1158" t="s">
        <v>105</v>
      </c>
      <c r="B326" s="94">
        <v>3542</v>
      </c>
    </row>
    <row r="327" spans="1:2" x14ac:dyDescent="0.2">
      <c r="A327" s="90" t="s">
        <v>417</v>
      </c>
      <c r="B327" s="79">
        <v>206154</v>
      </c>
    </row>
    <row r="328" spans="1:2" x14ac:dyDescent="0.2">
      <c r="A328" s="1158" t="s">
        <v>106</v>
      </c>
      <c r="B328" s="79">
        <v>3528</v>
      </c>
    </row>
    <row r="329" spans="1:2" x14ac:dyDescent="0.2">
      <c r="A329" s="80" t="s">
        <v>419</v>
      </c>
      <c r="B329" s="80" t="s">
        <v>420</v>
      </c>
    </row>
    <row r="330" spans="1:2" x14ac:dyDescent="0.2">
      <c r="A330" s="1158" t="s">
        <v>107</v>
      </c>
      <c r="B330" s="94">
        <v>3534</v>
      </c>
    </row>
    <row r="331" spans="1:2" x14ac:dyDescent="0.2">
      <c r="A331" s="1158" t="s">
        <v>108</v>
      </c>
      <c r="B331" s="143">
        <v>3532</v>
      </c>
    </row>
    <row r="332" spans="1:2" x14ac:dyDescent="0.2">
      <c r="A332" s="107" t="s">
        <v>7</v>
      </c>
      <c r="B332" s="79">
        <v>1010</v>
      </c>
    </row>
    <row r="333" spans="1:2" x14ac:dyDescent="0.2">
      <c r="A333" s="107" t="s">
        <v>421</v>
      </c>
      <c r="B333" s="79" t="s">
        <v>423</v>
      </c>
    </row>
    <row r="334" spans="1:2" x14ac:dyDescent="0.2">
      <c r="A334" s="1158" t="s">
        <v>114</v>
      </c>
      <c r="B334" s="94">
        <v>4177</v>
      </c>
    </row>
    <row r="335" spans="1:2" x14ac:dyDescent="0.2">
      <c r="A335" s="79" t="s">
        <v>424</v>
      </c>
      <c r="B335" s="79" t="s">
        <v>426</v>
      </c>
    </row>
    <row r="336" spans="1:2" x14ac:dyDescent="0.2">
      <c r="A336" s="79" t="s">
        <v>427</v>
      </c>
      <c r="B336" s="79">
        <v>206103</v>
      </c>
    </row>
    <row r="337" spans="1:2" x14ac:dyDescent="0.2">
      <c r="A337" s="79" t="s">
        <v>428</v>
      </c>
      <c r="B337" s="79" t="s">
        <v>430</v>
      </c>
    </row>
    <row r="338" spans="1:2" x14ac:dyDescent="0.2">
      <c r="A338" s="79" t="s">
        <v>431</v>
      </c>
      <c r="B338" s="79" t="s">
        <v>433</v>
      </c>
    </row>
    <row r="339" spans="1:2" x14ac:dyDescent="0.2">
      <c r="A339" s="79" t="s">
        <v>434</v>
      </c>
      <c r="B339" s="79">
        <v>258420</v>
      </c>
    </row>
    <row r="340" spans="1:2" x14ac:dyDescent="0.2">
      <c r="A340" s="79" t="s">
        <v>436</v>
      </c>
      <c r="B340" s="79">
        <v>258424</v>
      </c>
    </row>
    <row r="341" spans="1:2" x14ac:dyDescent="0.2">
      <c r="A341" s="79" t="s">
        <v>438</v>
      </c>
      <c r="B341" s="79" t="s">
        <v>439</v>
      </c>
    </row>
    <row r="342" spans="1:2" x14ac:dyDescent="0.2">
      <c r="A342" s="142" t="s">
        <v>65</v>
      </c>
      <c r="B342" s="79">
        <v>3546</v>
      </c>
    </row>
    <row r="343" spans="1:2" x14ac:dyDescent="0.2">
      <c r="A343" s="140" t="s">
        <v>8</v>
      </c>
      <c r="B343" s="79">
        <v>1009</v>
      </c>
    </row>
    <row r="344" spans="1:2" x14ac:dyDescent="0.2">
      <c r="A344" s="142" t="s">
        <v>66</v>
      </c>
      <c r="B344" s="79">
        <v>3530</v>
      </c>
    </row>
    <row r="345" spans="1:2" x14ac:dyDescent="0.2">
      <c r="A345" s="1158" t="s">
        <v>74</v>
      </c>
      <c r="B345" s="94">
        <v>5412</v>
      </c>
    </row>
    <row r="346" spans="1:2" ht="15" x14ac:dyDescent="0.2">
      <c r="A346" s="146" t="s">
        <v>445</v>
      </c>
      <c r="B346" s="146" t="s">
        <v>446</v>
      </c>
    </row>
    <row r="347" spans="1:2" x14ac:dyDescent="0.2">
      <c r="A347" s="140" t="s">
        <v>440</v>
      </c>
      <c r="B347" s="144" t="s">
        <v>442</v>
      </c>
    </row>
    <row r="348" spans="1:2" x14ac:dyDescent="0.2">
      <c r="A348" s="79" t="s">
        <v>9</v>
      </c>
      <c r="B348" s="140">
        <v>1015</v>
      </c>
    </row>
    <row r="349" spans="1:2" x14ac:dyDescent="0.2">
      <c r="A349" s="141" t="s">
        <v>443</v>
      </c>
      <c r="B349" s="145" t="s">
        <v>444</v>
      </c>
    </row>
    <row r="350" spans="1:2" x14ac:dyDescent="0.2">
      <c r="A350" s="142" t="s">
        <v>447</v>
      </c>
      <c r="B350" s="79">
        <v>509204</v>
      </c>
    </row>
    <row r="351" spans="1:2" x14ac:dyDescent="0.2">
      <c r="A351" s="1206" t="s">
        <v>67</v>
      </c>
      <c r="B351" s="143">
        <v>2459</v>
      </c>
    </row>
    <row r="352" spans="1:2" x14ac:dyDescent="0.2">
      <c r="A352" s="79" t="s">
        <v>96</v>
      </c>
      <c r="B352" s="79">
        <v>2007</v>
      </c>
    </row>
  </sheetData>
  <sheetProtection password="EF5C" sheet="1" objects="1" scenarios="1"/>
  <mergeCells count="4">
    <mergeCell ref="H1:H5"/>
    <mergeCell ref="N1:N5"/>
    <mergeCell ref="T1:T5"/>
    <mergeCell ref="E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53"/>
  <sheetViews>
    <sheetView workbookViewId="0">
      <pane xSplit="2" ySplit="6" topLeftCell="U97" activePane="bottomRight" state="frozen"/>
      <selection activeCell="C118" sqref="C118"/>
      <selection pane="topRight" activeCell="C118" sqref="C118"/>
      <selection pane="bottomLeft" activeCell="C118" sqref="C118"/>
      <selection pane="bottomRight" sqref="A1:AG1048576"/>
    </sheetView>
  </sheetViews>
  <sheetFormatPr defaultRowHeight="12.75" x14ac:dyDescent="0.2"/>
  <cols>
    <col min="1" max="1" width="52.42578125" style="22" hidden="1" customWidth="1"/>
    <col min="2" max="2" width="17.140625" style="22" hidden="1" customWidth="1"/>
    <col min="3" max="3" width="13.28515625" hidden="1" customWidth="1"/>
    <col min="4" max="4" width="12.42578125" hidden="1" customWidth="1"/>
    <col min="5" max="5" width="12.28515625" hidden="1" customWidth="1"/>
    <col min="6" max="33" width="0" hidden="1" customWidth="1"/>
  </cols>
  <sheetData>
    <row r="1" spans="1:4" ht="12.75" customHeight="1" x14ac:dyDescent="0.2">
      <c r="A1" s="24" t="s">
        <v>1038</v>
      </c>
      <c r="B1" s="1010"/>
      <c r="C1" s="1012"/>
      <c r="D1" s="1033">
        <v>0</v>
      </c>
    </row>
    <row r="2" spans="1:4" x14ac:dyDescent="0.2">
      <c r="A2" s="24" t="s">
        <v>77</v>
      </c>
      <c r="B2" s="1011" t="s">
        <v>898</v>
      </c>
      <c r="C2" s="1012"/>
      <c r="D2" s="1033">
        <f>927.15-67.99</f>
        <v>859.16</v>
      </c>
    </row>
    <row r="3" spans="1:4" x14ac:dyDescent="0.2">
      <c r="A3" s="24" t="s">
        <v>78</v>
      </c>
      <c r="B3" s="1010"/>
      <c r="C3" s="1012"/>
      <c r="D3" s="1012"/>
    </row>
    <row r="4" spans="1:4" x14ac:dyDescent="0.2">
      <c r="A4" s="24" t="s">
        <v>79</v>
      </c>
      <c r="B4" s="1010"/>
      <c r="C4" s="1012"/>
      <c r="D4" s="1012"/>
    </row>
    <row r="5" spans="1:4" x14ac:dyDescent="0.2">
      <c r="A5" s="24" t="s">
        <v>80</v>
      </c>
      <c r="B5" s="1010"/>
      <c r="C5" s="1012"/>
      <c r="D5" s="1012"/>
    </row>
    <row r="6" spans="1:4" ht="102" x14ac:dyDescent="0.2">
      <c r="A6" s="1022" t="s">
        <v>118</v>
      </c>
      <c r="B6" s="1024" t="s">
        <v>81</v>
      </c>
      <c r="C6" s="1034" t="s">
        <v>1062</v>
      </c>
      <c r="D6" s="1034" t="s">
        <v>1063</v>
      </c>
    </row>
    <row r="7" spans="1:4" x14ac:dyDescent="0.2">
      <c r="A7" s="25" t="s">
        <v>10</v>
      </c>
      <c r="B7" s="26">
        <v>2012</v>
      </c>
      <c r="C7" s="1009"/>
      <c r="D7" s="1035">
        <f>D$1*C7</f>
        <v>0</v>
      </c>
    </row>
    <row r="8" spans="1:4" x14ac:dyDescent="0.2">
      <c r="A8" s="25" t="s">
        <v>11</v>
      </c>
      <c r="B8" s="26">
        <v>2443</v>
      </c>
      <c r="C8" s="1009"/>
      <c r="D8" s="1035">
        <f t="shared" ref="D8:D71" si="0">D$1*C8</f>
        <v>0</v>
      </c>
    </row>
    <row r="9" spans="1:4" x14ac:dyDescent="0.2">
      <c r="A9" s="25" t="s">
        <v>94</v>
      </c>
      <c r="B9" s="26">
        <v>2442</v>
      </c>
      <c r="C9" s="1009"/>
      <c r="D9" s="1035">
        <f t="shared" si="0"/>
        <v>0</v>
      </c>
    </row>
    <row r="10" spans="1:4" x14ac:dyDescent="0.2">
      <c r="A10" s="25" t="s">
        <v>13</v>
      </c>
      <c r="B10" s="26">
        <v>2629</v>
      </c>
      <c r="C10" s="1009"/>
      <c r="D10" s="1035">
        <f t="shared" si="0"/>
        <v>0</v>
      </c>
    </row>
    <row r="11" spans="1:4" x14ac:dyDescent="0.2">
      <c r="A11" s="25" t="s">
        <v>14</v>
      </c>
      <c r="B11" s="26">
        <v>2509</v>
      </c>
      <c r="C11" s="1009"/>
      <c r="D11" s="1035">
        <f t="shared" si="0"/>
        <v>0</v>
      </c>
    </row>
    <row r="12" spans="1:4" x14ac:dyDescent="0.2">
      <c r="A12" s="25" t="s">
        <v>15</v>
      </c>
      <c r="B12" s="26">
        <v>2005</v>
      </c>
      <c r="C12" s="1009"/>
      <c r="D12" s="1035">
        <f t="shared" si="0"/>
        <v>0</v>
      </c>
    </row>
    <row r="13" spans="1:4" x14ac:dyDescent="0.2">
      <c r="A13" s="25" t="s">
        <v>16</v>
      </c>
      <c r="B13" s="26">
        <v>2464</v>
      </c>
      <c r="C13" s="1009"/>
      <c r="D13" s="1035">
        <f t="shared" si="0"/>
        <v>0</v>
      </c>
    </row>
    <row r="14" spans="1:4" x14ac:dyDescent="0.2">
      <c r="A14" s="25" t="s">
        <v>17</v>
      </c>
      <c r="B14" s="26">
        <v>2004</v>
      </c>
      <c r="C14" s="1009"/>
      <c r="D14" s="1035">
        <f t="shared" si="0"/>
        <v>0</v>
      </c>
    </row>
    <row r="15" spans="1:4" x14ac:dyDescent="0.2">
      <c r="A15" s="25" t="s">
        <v>18</v>
      </c>
      <c r="B15" s="26">
        <v>2405</v>
      </c>
      <c r="C15" s="1009"/>
      <c r="D15" s="1035">
        <f t="shared" si="0"/>
        <v>0</v>
      </c>
    </row>
    <row r="16" spans="1:4" x14ac:dyDescent="0.2">
      <c r="A16" s="25" t="s">
        <v>95</v>
      </c>
      <c r="B16" s="26">
        <v>2011</v>
      </c>
      <c r="C16" s="1009"/>
      <c r="D16" s="1035">
        <f t="shared" si="0"/>
        <v>0</v>
      </c>
    </row>
    <row r="17" spans="1:4" x14ac:dyDescent="0.2">
      <c r="A17" s="25" t="s">
        <v>20</v>
      </c>
      <c r="B17" s="26">
        <v>5201</v>
      </c>
      <c r="C17" s="1009"/>
      <c r="D17" s="1035">
        <f t="shared" si="0"/>
        <v>0</v>
      </c>
    </row>
    <row r="18" spans="1:4" x14ac:dyDescent="0.2">
      <c r="A18" s="25" t="s">
        <v>96</v>
      </c>
      <c r="B18" s="26">
        <v>2007</v>
      </c>
      <c r="C18" s="1009"/>
      <c r="D18" s="1035">
        <f t="shared" si="0"/>
        <v>0</v>
      </c>
    </row>
    <row r="19" spans="1:4" x14ac:dyDescent="0.2">
      <c r="A19" s="25" t="s">
        <v>21</v>
      </c>
      <c r="B19" s="26">
        <v>2433</v>
      </c>
      <c r="C19" s="1009"/>
      <c r="D19" s="1035">
        <f t="shared" si="0"/>
        <v>0</v>
      </c>
    </row>
    <row r="20" spans="1:4" x14ac:dyDescent="0.2">
      <c r="A20" s="25" t="s">
        <v>22</v>
      </c>
      <c r="B20" s="26">
        <v>2432</v>
      </c>
      <c r="C20" s="1009"/>
      <c r="D20" s="1035">
        <f t="shared" si="0"/>
        <v>0</v>
      </c>
    </row>
    <row r="21" spans="1:4" x14ac:dyDescent="0.2">
      <c r="A21" s="25" t="s">
        <v>1028</v>
      </c>
      <c r="B21" s="26">
        <v>2447</v>
      </c>
      <c r="C21" s="1009"/>
      <c r="D21" s="1035">
        <f t="shared" si="0"/>
        <v>0</v>
      </c>
    </row>
    <row r="22" spans="1:4" x14ac:dyDescent="0.2">
      <c r="A22" s="25" t="s">
        <v>23</v>
      </c>
      <c r="B22" s="26">
        <v>2512</v>
      </c>
      <c r="C22" s="1009"/>
      <c r="D22" s="1035">
        <f t="shared" si="0"/>
        <v>0</v>
      </c>
    </row>
    <row r="23" spans="1:4" x14ac:dyDescent="0.2">
      <c r="A23" s="25" t="s">
        <v>24</v>
      </c>
      <c r="B23" s="26">
        <v>2456</v>
      </c>
      <c r="C23" s="1009"/>
      <c r="D23" s="1035">
        <f t="shared" si="0"/>
        <v>0</v>
      </c>
    </row>
    <row r="24" spans="1:4" x14ac:dyDescent="0.2">
      <c r="A24" s="25" t="s">
        <v>25</v>
      </c>
      <c r="B24" s="26">
        <v>2449</v>
      </c>
      <c r="C24" s="1009"/>
      <c r="D24" s="1035">
        <f t="shared" si="0"/>
        <v>0</v>
      </c>
    </row>
    <row r="25" spans="1:4" x14ac:dyDescent="0.2">
      <c r="A25" s="25" t="s">
        <v>26</v>
      </c>
      <c r="B25" s="26">
        <v>2448</v>
      </c>
      <c r="C25" s="1009"/>
      <c r="D25" s="1035">
        <f t="shared" si="0"/>
        <v>0</v>
      </c>
    </row>
    <row r="26" spans="1:4" x14ac:dyDescent="0.2">
      <c r="A26" s="25" t="s">
        <v>126</v>
      </c>
      <c r="B26" s="26">
        <v>2467</v>
      </c>
      <c r="C26" s="1009"/>
      <c r="D26" s="1035">
        <f t="shared" si="0"/>
        <v>0</v>
      </c>
    </row>
    <row r="27" spans="1:4" x14ac:dyDescent="0.2">
      <c r="A27" s="25" t="s">
        <v>28</v>
      </c>
      <c r="B27" s="26">
        <v>2455</v>
      </c>
      <c r="C27" s="1009"/>
      <c r="D27" s="1035">
        <f t="shared" si="0"/>
        <v>0</v>
      </c>
    </row>
    <row r="28" spans="1:4" x14ac:dyDescent="0.2">
      <c r="A28" s="25" t="s">
        <v>29</v>
      </c>
      <c r="B28" s="26">
        <v>5203</v>
      </c>
      <c r="C28" s="1009"/>
      <c r="D28" s="1035">
        <f t="shared" si="0"/>
        <v>0</v>
      </c>
    </row>
    <row r="29" spans="1:4" x14ac:dyDescent="0.2">
      <c r="A29" s="25" t="s">
        <v>30</v>
      </c>
      <c r="B29" s="26">
        <v>2451</v>
      </c>
      <c r="C29" s="1009"/>
      <c r="D29" s="1035">
        <f t="shared" si="0"/>
        <v>0</v>
      </c>
    </row>
    <row r="30" spans="1:4" x14ac:dyDescent="0.2">
      <c r="A30" s="25" t="s">
        <v>31</v>
      </c>
      <c r="B30" s="26">
        <v>2409</v>
      </c>
      <c r="C30" s="1009"/>
      <c r="D30" s="1035">
        <f t="shared" si="0"/>
        <v>0</v>
      </c>
    </row>
    <row r="31" spans="1:4" x14ac:dyDescent="0.2">
      <c r="A31" s="25" t="s">
        <v>98</v>
      </c>
      <c r="B31" s="26">
        <v>3158</v>
      </c>
      <c r="C31" s="1009"/>
      <c r="D31" s="1035">
        <f t="shared" si="0"/>
        <v>0</v>
      </c>
    </row>
    <row r="32" spans="1:4" x14ac:dyDescent="0.2">
      <c r="A32" s="25" t="s">
        <v>32</v>
      </c>
      <c r="B32" s="26">
        <v>2619</v>
      </c>
      <c r="C32" s="1009"/>
      <c r="D32" s="1035">
        <f t="shared" si="0"/>
        <v>0</v>
      </c>
    </row>
    <row r="33" spans="1:4" x14ac:dyDescent="0.2">
      <c r="A33" s="25" t="s">
        <v>33</v>
      </c>
      <c r="B33" s="26">
        <v>2518</v>
      </c>
      <c r="C33" s="1009"/>
      <c r="D33" s="1035">
        <f t="shared" si="0"/>
        <v>0</v>
      </c>
    </row>
    <row r="34" spans="1:4" x14ac:dyDescent="0.2">
      <c r="A34" s="25" t="s">
        <v>34</v>
      </c>
      <c r="B34" s="26">
        <v>2457</v>
      </c>
      <c r="C34" s="1009"/>
      <c r="D34" s="1035">
        <f t="shared" si="0"/>
        <v>0</v>
      </c>
    </row>
    <row r="35" spans="1:4" x14ac:dyDescent="0.2">
      <c r="A35" s="25" t="s">
        <v>99</v>
      </c>
      <c r="B35" s="26">
        <v>2010</v>
      </c>
      <c r="C35" s="1009"/>
      <c r="D35" s="1035">
        <f t="shared" si="0"/>
        <v>0</v>
      </c>
    </row>
    <row r="36" spans="1:4" x14ac:dyDescent="0.2">
      <c r="A36" s="25" t="s">
        <v>35</v>
      </c>
      <c r="B36" s="26">
        <v>2002</v>
      </c>
      <c r="C36" s="1009"/>
      <c r="D36" s="1035">
        <f t="shared" si="0"/>
        <v>0</v>
      </c>
    </row>
    <row r="37" spans="1:4" x14ac:dyDescent="0.2">
      <c r="A37" s="25" t="s">
        <v>36</v>
      </c>
      <c r="B37" s="26">
        <v>3544</v>
      </c>
      <c r="C37" s="1009"/>
      <c r="D37" s="1035">
        <f t="shared" si="0"/>
        <v>0</v>
      </c>
    </row>
    <row r="38" spans="1:4" x14ac:dyDescent="0.2">
      <c r="A38" s="25" t="s">
        <v>100</v>
      </c>
      <c r="B38" s="26">
        <v>2006</v>
      </c>
      <c r="C38" s="1009"/>
      <c r="D38" s="1035">
        <f t="shared" si="0"/>
        <v>0</v>
      </c>
    </row>
    <row r="39" spans="1:4" x14ac:dyDescent="0.2">
      <c r="A39" s="25" t="s">
        <v>37</v>
      </c>
      <c r="B39" s="26">
        <v>2434</v>
      </c>
      <c r="C39" s="1009"/>
      <c r="D39" s="1035">
        <f t="shared" si="0"/>
        <v>0</v>
      </c>
    </row>
    <row r="40" spans="1:4" x14ac:dyDescent="0.2">
      <c r="A40" s="25" t="s">
        <v>38</v>
      </c>
      <c r="B40" s="26">
        <v>2522</v>
      </c>
      <c r="C40" s="1009"/>
      <c r="D40" s="1035">
        <f t="shared" si="0"/>
        <v>0</v>
      </c>
    </row>
    <row r="41" spans="1:4" x14ac:dyDescent="0.2">
      <c r="A41" s="25" t="s">
        <v>39</v>
      </c>
      <c r="B41" s="26">
        <v>2436</v>
      </c>
      <c r="C41" s="1009"/>
      <c r="D41" s="1035">
        <f t="shared" si="0"/>
        <v>0</v>
      </c>
    </row>
    <row r="42" spans="1:4" x14ac:dyDescent="0.2">
      <c r="A42" s="25" t="s">
        <v>40</v>
      </c>
      <c r="B42" s="26">
        <v>2452</v>
      </c>
      <c r="C42" s="1009"/>
      <c r="D42" s="1035">
        <f t="shared" si="0"/>
        <v>0</v>
      </c>
    </row>
    <row r="43" spans="1:4" x14ac:dyDescent="0.2">
      <c r="A43" s="25" t="s">
        <v>41</v>
      </c>
      <c r="B43" s="26">
        <v>2627</v>
      </c>
      <c r="C43" s="1009"/>
      <c r="D43" s="1035">
        <f t="shared" si="0"/>
        <v>0</v>
      </c>
    </row>
    <row r="44" spans="1:4" x14ac:dyDescent="0.2">
      <c r="A44" s="25" t="s">
        <v>42</v>
      </c>
      <c r="B44" s="26">
        <v>2009</v>
      </c>
      <c r="C44" s="1009"/>
      <c r="D44" s="1035">
        <f t="shared" si="0"/>
        <v>0</v>
      </c>
    </row>
    <row r="45" spans="1:4" x14ac:dyDescent="0.2">
      <c r="A45" s="25" t="s">
        <v>101</v>
      </c>
      <c r="B45" s="26">
        <v>2473</v>
      </c>
      <c r="C45" s="1009"/>
      <c r="D45" s="1035">
        <f t="shared" si="0"/>
        <v>0</v>
      </c>
    </row>
    <row r="46" spans="1:4" x14ac:dyDescent="0.2">
      <c r="A46" s="25" t="s">
        <v>44</v>
      </c>
      <c r="B46" s="26">
        <v>2471</v>
      </c>
      <c r="C46" s="1009"/>
      <c r="D46" s="1035">
        <f t="shared" si="0"/>
        <v>0</v>
      </c>
    </row>
    <row r="47" spans="1:4" x14ac:dyDescent="0.2">
      <c r="A47" s="25" t="s">
        <v>43</v>
      </c>
      <c r="B47" s="26">
        <v>2420</v>
      </c>
      <c r="C47" s="1009"/>
      <c r="D47" s="1035">
        <f t="shared" si="0"/>
        <v>0</v>
      </c>
    </row>
    <row r="48" spans="1:4" x14ac:dyDescent="0.2">
      <c r="A48" s="25" t="s">
        <v>45</v>
      </c>
      <c r="B48" s="26">
        <v>2003</v>
      </c>
      <c r="C48" s="1009"/>
      <c r="D48" s="1035">
        <f t="shared" si="0"/>
        <v>0</v>
      </c>
    </row>
    <row r="49" spans="1:4" x14ac:dyDescent="0.2">
      <c r="A49" s="25" t="s">
        <v>46</v>
      </c>
      <c r="B49" s="26">
        <v>2423</v>
      </c>
      <c r="C49" s="1009"/>
      <c r="D49" s="1035">
        <f t="shared" si="0"/>
        <v>0</v>
      </c>
    </row>
    <row r="50" spans="1:4" x14ac:dyDescent="0.2">
      <c r="A50" s="25" t="s">
        <v>47</v>
      </c>
      <c r="B50" s="26">
        <v>2424</v>
      </c>
      <c r="C50" s="1009"/>
      <c r="D50" s="1035">
        <f t="shared" si="0"/>
        <v>0</v>
      </c>
    </row>
    <row r="51" spans="1:4" x14ac:dyDescent="0.2">
      <c r="A51" s="25" t="s">
        <v>48</v>
      </c>
      <c r="B51" s="26">
        <v>2439</v>
      </c>
      <c r="C51" s="1009"/>
      <c r="D51" s="1035">
        <f t="shared" si="0"/>
        <v>0</v>
      </c>
    </row>
    <row r="52" spans="1:4" x14ac:dyDescent="0.2">
      <c r="A52" s="25" t="s">
        <v>49</v>
      </c>
      <c r="B52" s="26">
        <v>2440</v>
      </c>
      <c r="C52" s="1009"/>
      <c r="D52" s="1035">
        <f t="shared" si="0"/>
        <v>0</v>
      </c>
    </row>
    <row r="53" spans="1:4" x14ac:dyDescent="0.2">
      <c r="A53" s="25" t="s">
        <v>102</v>
      </c>
      <c r="B53" s="26">
        <v>2462</v>
      </c>
      <c r="C53" s="1009"/>
      <c r="D53" s="1035">
        <f t="shared" si="0"/>
        <v>0</v>
      </c>
    </row>
    <row r="54" spans="1:4" x14ac:dyDescent="0.2">
      <c r="A54" s="25" t="s">
        <v>50</v>
      </c>
      <c r="B54" s="26">
        <v>2463</v>
      </c>
      <c r="C54" s="1009"/>
      <c r="D54" s="1035">
        <f t="shared" si="0"/>
        <v>0</v>
      </c>
    </row>
    <row r="55" spans="1:4" x14ac:dyDescent="0.2">
      <c r="A55" s="25" t="s">
        <v>51</v>
      </c>
      <c r="B55" s="26">
        <v>2505</v>
      </c>
      <c r="C55" s="1009"/>
      <c r="D55" s="1035">
        <f t="shared" si="0"/>
        <v>0</v>
      </c>
    </row>
    <row r="56" spans="1:4" x14ac:dyDescent="0.2">
      <c r="A56" s="25" t="s">
        <v>52</v>
      </c>
      <c r="B56" s="26">
        <v>2000</v>
      </c>
      <c r="C56" s="1009"/>
      <c r="D56" s="1035">
        <f t="shared" si="0"/>
        <v>0</v>
      </c>
    </row>
    <row r="57" spans="1:4" x14ac:dyDescent="0.2">
      <c r="A57" s="25" t="s">
        <v>53</v>
      </c>
      <c r="B57" s="26">
        <v>2458</v>
      </c>
      <c r="C57" s="1009"/>
      <c r="D57" s="1035">
        <f t="shared" si="0"/>
        <v>0</v>
      </c>
    </row>
    <row r="58" spans="1:4" x14ac:dyDescent="0.2">
      <c r="A58" s="25" t="s">
        <v>54</v>
      </c>
      <c r="B58" s="26">
        <v>2001</v>
      </c>
      <c r="C58" s="1009"/>
      <c r="D58" s="1035">
        <f t="shared" si="0"/>
        <v>0</v>
      </c>
    </row>
    <row r="59" spans="1:4" x14ac:dyDescent="0.2">
      <c r="A59" s="25" t="s">
        <v>55</v>
      </c>
      <c r="B59" s="26">
        <v>2429</v>
      </c>
      <c r="C59" s="1009"/>
      <c r="D59" s="1035">
        <f t="shared" si="0"/>
        <v>0</v>
      </c>
    </row>
    <row r="60" spans="1:4" x14ac:dyDescent="0.2">
      <c r="A60" s="25" t="s">
        <v>56</v>
      </c>
      <c r="B60" s="26">
        <v>2444</v>
      </c>
      <c r="C60" s="1009"/>
      <c r="D60" s="1035">
        <f t="shared" si="0"/>
        <v>0</v>
      </c>
    </row>
    <row r="61" spans="1:4" x14ac:dyDescent="0.2">
      <c r="A61" s="25" t="s">
        <v>57</v>
      </c>
      <c r="B61" s="26">
        <v>5209</v>
      </c>
      <c r="C61" s="1009"/>
      <c r="D61" s="1035">
        <f t="shared" si="0"/>
        <v>0</v>
      </c>
    </row>
    <row r="62" spans="1:4" x14ac:dyDescent="0.2">
      <c r="A62" s="25" t="s">
        <v>58</v>
      </c>
      <c r="B62" s="26">
        <v>2469</v>
      </c>
      <c r="C62" s="1009"/>
      <c r="D62" s="1035">
        <f t="shared" si="0"/>
        <v>0</v>
      </c>
    </row>
    <row r="63" spans="1:4" x14ac:dyDescent="0.2">
      <c r="A63" s="22" t="s">
        <v>451</v>
      </c>
      <c r="B63" s="26">
        <v>2430</v>
      </c>
      <c r="C63" s="1009"/>
      <c r="D63" s="1035">
        <f t="shared" si="0"/>
        <v>0</v>
      </c>
    </row>
    <row r="64" spans="1:4" x14ac:dyDescent="0.2">
      <c r="A64" s="25" t="s">
        <v>59</v>
      </c>
      <c r="B64" s="26">
        <v>2466</v>
      </c>
      <c r="C64" s="1009"/>
      <c r="D64" s="1035">
        <f t="shared" si="0"/>
        <v>0</v>
      </c>
    </row>
    <row r="65" spans="1:4" x14ac:dyDescent="0.2">
      <c r="A65" s="25" t="s">
        <v>60</v>
      </c>
      <c r="B65" s="26">
        <v>3543</v>
      </c>
      <c r="C65" s="1009"/>
      <c r="D65" s="1035">
        <f t="shared" si="0"/>
        <v>0</v>
      </c>
    </row>
    <row r="66" spans="1:4" x14ac:dyDescent="0.2">
      <c r="A66" s="25" t="s">
        <v>62</v>
      </c>
      <c r="B66" s="26">
        <v>3531</v>
      </c>
      <c r="C66" s="1009"/>
      <c r="D66" s="1035">
        <f t="shared" si="0"/>
        <v>0</v>
      </c>
    </row>
    <row r="67" spans="1:4" x14ac:dyDescent="0.2">
      <c r="A67" s="25" t="s">
        <v>103</v>
      </c>
      <c r="B67" s="26">
        <v>3526</v>
      </c>
      <c r="C67" s="1009"/>
      <c r="D67" s="1035">
        <f t="shared" si="0"/>
        <v>0</v>
      </c>
    </row>
    <row r="68" spans="1:4" x14ac:dyDescent="0.2">
      <c r="A68" s="25" t="s">
        <v>104</v>
      </c>
      <c r="B68" s="26">
        <v>3535</v>
      </c>
      <c r="C68" s="1009"/>
      <c r="D68" s="1035">
        <f t="shared" si="0"/>
        <v>0</v>
      </c>
    </row>
    <row r="69" spans="1:4" x14ac:dyDescent="0.2">
      <c r="A69" s="1029" t="s">
        <v>64</v>
      </c>
      <c r="B69" s="26">
        <v>2008</v>
      </c>
      <c r="C69" s="1009"/>
      <c r="D69" s="1035">
        <f t="shared" si="0"/>
        <v>0</v>
      </c>
    </row>
    <row r="70" spans="1:4" x14ac:dyDescent="0.2">
      <c r="A70" s="25" t="s">
        <v>105</v>
      </c>
      <c r="B70" s="26">
        <v>3542</v>
      </c>
      <c r="C70" s="1009"/>
      <c r="D70" s="1035">
        <f t="shared" si="0"/>
        <v>0</v>
      </c>
    </row>
    <row r="71" spans="1:4" x14ac:dyDescent="0.2">
      <c r="A71" s="25" t="s">
        <v>106</v>
      </c>
      <c r="B71" s="26">
        <v>3528</v>
      </c>
      <c r="C71" s="1009"/>
      <c r="D71" s="1035">
        <f t="shared" si="0"/>
        <v>0</v>
      </c>
    </row>
    <row r="72" spans="1:4" x14ac:dyDescent="0.2">
      <c r="A72" s="25" t="s">
        <v>107</v>
      </c>
      <c r="B72" s="26">
        <v>3534</v>
      </c>
      <c r="C72" s="1009"/>
      <c r="D72" s="1035">
        <f t="shared" ref="D72:D77" si="1">D$1*C72</f>
        <v>0</v>
      </c>
    </row>
    <row r="73" spans="1:4" x14ac:dyDescent="0.2">
      <c r="A73" s="25" t="s">
        <v>108</v>
      </c>
      <c r="B73" s="26">
        <v>3532</v>
      </c>
      <c r="C73" s="1009"/>
      <c r="D73" s="1035">
        <f t="shared" si="1"/>
        <v>0</v>
      </c>
    </row>
    <row r="74" spans="1:4" x14ac:dyDescent="0.2">
      <c r="A74" s="25" t="s">
        <v>65</v>
      </c>
      <c r="B74" s="26">
        <v>3546</v>
      </c>
      <c r="C74" s="1009"/>
      <c r="D74" s="1035">
        <f t="shared" si="1"/>
        <v>0</v>
      </c>
    </row>
    <row r="75" spans="1:4" x14ac:dyDescent="0.2">
      <c r="A75" s="25" t="s">
        <v>109</v>
      </c>
      <c r="B75" s="26">
        <v>3530</v>
      </c>
      <c r="C75" s="1009"/>
      <c r="D75" s="1035">
        <f t="shared" si="1"/>
        <v>0</v>
      </c>
    </row>
    <row r="76" spans="1:4" x14ac:dyDescent="0.2">
      <c r="A76" s="25" t="s">
        <v>67</v>
      </c>
      <c r="B76" s="26">
        <v>2459</v>
      </c>
      <c r="C76" s="1009"/>
      <c r="D76" s="1035">
        <f t="shared" si="1"/>
        <v>0</v>
      </c>
    </row>
    <row r="77" spans="1:4" x14ac:dyDescent="0.2">
      <c r="A77" s="9" t="s">
        <v>912</v>
      </c>
      <c r="B77" s="10">
        <v>4000</v>
      </c>
      <c r="C77" s="1009"/>
      <c r="D77" s="1035">
        <f t="shared" si="1"/>
        <v>0</v>
      </c>
    </row>
    <row r="78" spans="1:4" x14ac:dyDescent="0.2">
      <c r="A78" s="25"/>
      <c r="B78" s="26"/>
      <c r="C78" s="23"/>
      <c r="D78" s="1036"/>
    </row>
    <row r="79" spans="1:4" x14ac:dyDescent="0.2">
      <c r="A79" s="24" t="s">
        <v>110</v>
      </c>
      <c r="B79" s="24" t="s">
        <v>110</v>
      </c>
      <c r="C79" s="29">
        <f>SUM(C7:C77)</f>
        <v>0</v>
      </c>
      <c r="D79" s="1019">
        <f>SUM(D7:D77)</f>
        <v>0</v>
      </c>
    </row>
    <row r="80" spans="1:4" x14ac:dyDescent="0.2">
      <c r="A80" s="25"/>
      <c r="B80" s="26"/>
      <c r="C80" s="23"/>
      <c r="D80" s="1036"/>
    </row>
    <row r="81" spans="1:4" x14ac:dyDescent="0.2">
      <c r="A81" s="25" t="s">
        <v>75</v>
      </c>
      <c r="B81" s="26">
        <v>5402</v>
      </c>
      <c r="C81" s="23">
        <f>SUMIF('2015 Factor % to units'!B:B,B81,'2015 Factor % to units'!BG:BG)</f>
        <v>206.45017793594315</v>
      </c>
      <c r="D81" s="1035">
        <f>D$2*C81</f>
        <v>177373.7348754449</v>
      </c>
    </row>
    <row r="82" spans="1:4" x14ac:dyDescent="0.2">
      <c r="A82" s="25" t="s">
        <v>68</v>
      </c>
      <c r="B82" s="26">
        <v>4608</v>
      </c>
      <c r="C82" s="23">
        <f>SUMIF('2015 Factor % to units'!B:B,B82,'2015 Factor % to units'!BG:BG)</f>
        <v>197.07509881422942</v>
      </c>
      <c r="D82" s="1035">
        <f t="shared" ref="D82:D94" si="2">D$2*C82</f>
        <v>169319.04189723334</v>
      </c>
    </row>
    <row r="83" spans="1:4" x14ac:dyDescent="0.2">
      <c r="A83" s="25" t="s">
        <v>111</v>
      </c>
      <c r="B83" s="26">
        <v>4178</v>
      </c>
      <c r="C83" s="23">
        <f>SUMIF('2015 Factor % to units'!B:B,B83,'2015 Factor % to units'!BG:BG)</f>
        <v>341.36434108527152</v>
      </c>
      <c r="D83" s="1035">
        <f t="shared" si="2"/>
        <v>293286.58728682186</v>
      </c>
    </row>
    <row r="84" spans="1:4" x14ac:dyDescent="0.2">
      <c r="A84" s="25" t="s">
        <v>69</v>
      </c>
      <c r="B84" s="26">
        <v>4181</v>
      </c>
      <c r="C84" s="23">
        <f>SUMIF('2015 Factor % to units'!B:B,B84,'2015 Factor % to units'!BG:BG)</f>
        <v>288.4837758112094</v>
      </c>
      <c r="D84" s="1035">
        <f t="shared" si="2"/>
        <v>247853.72082595865</v>
      </c>
    </row>
    <row r="85" spans="1:4" x14ac:dyDescent="0.2">
      <c r="A85" s="25" t="s">
        <v>70</v>
      </c>
      <c r="B85" s="26">
        <v>4182</v>
      </c>
      <c r="C85" s="23">
        <f>SUMIF('2015 Factor % to units'!B:B,B85,'2015 Factor % to units'!BG:BG)</f>
        <v>221.03210272873139</v>
      </c>
      <c r="D85" s="1035">
        <f t="shared" si="2"/>
        <v>189901.94138041686</v>
      </c>
    </row>
    <row r="86" spans="1:4" x14ac:dyDescent="0.2">
      <c r="A86" s="25" t="s">
        <v>71</v>
      </c>
      <c r="B86" s="39">
        <v>4001</v>
      </c>
      <c r="C86" s="23">
        <f>SUMIF('2015 Factor % to units'!B:B,B86,'2015 Factor % to units'!BG:BG)</f>
        <v>399.44736842105254</v>
      </c>
      <c r="D86" s="1035">
        <f t="shared" si="2"/>
        <v>343189.20105263148</v>
      </c>
    </row>
    <row r="87" spans="1:4" x14ac:dyDescent="0.2">
      <c r="A87" s="25" t="s">
        <v>112</v>
      </c>
      <c r="B87" s="26">
        <v>5406</v>
      </c>
      <c r="C87" s="23">
        <f>SUMIF('2015 Factor % to units'!B:B,B87,'2015 Factor % to units'!BG:BG)</f>
        <v>249.51807228915649</v>
      </c>
      <c r="D87" s="1035">
        <f t="shared" si="2"/>
        <v>214375.9469879517</v>
      </c>
    </row>
    <row r="88" spans="1:4" x14ac:dyDescent="0.2">
      <c r="A88" s="25" t="s">
        <v>113</v>
      </c>
      <c r="B88" s="26">
        <v>5407</v>
      </c>
      <c r="C88" s="23">
        <f>SUMIF('2015 Factor % to units'!B:B,B88,'2015 Factor % to units'!BG:BG)</f>
        <v>356.82242990654186</v>
      </c>
      <c r="D88" s="1035">
        <f t="shared" si="2"/>
        <v>306567.5588785045</v>
      </c>
    </row>
    <row r="89" spans="1:4" x14ac:dyDescent="0.2">
      <c r="A89" s="25" t="s">
        <v>72</v>
      </c>
      <c r="B89" s="26">
        <v>4607</v>
      </c>
      <c r="C89" s="23">
        <f>SUMIF('2015 Factor % to units'!B:B,B89,'2015 Factor % to units'!BG:BG)</f>
        <v>338.58250497017946</v>
      </c>
      <c r="D89" s="1035">
        <f t="shared" si="2"/>
        <v>290896.54497017938</v>
      </c>
    </row>
    <row r="90" spans="1:4" x14ac:dyDescent="0.2">
      <c r="A90" s="25" t="s">
        <v>1046</v>
      </c>
      <c r="B90" s="39">
        <v>4002</v>
      </c>
      <c r="C90" s="23">
        <f>SUMIF('2015 Factor % to units'!B:B,B90,'2015 Factor % to units'!BG:BG)</f>
        <v>358.9786535303773</v>
      </c>
      <c r="D90" s="1035">
        <f t="shared" si="2"/>
        <v>308420.09996715892</v>
      </c>
    </row>
    <row r="91" spans="1:4" x14ac:dyDescent="0.2">
      <c r="A91" s="25" t="s">
        <v>74</v>
      </c>
      <c r="B91" s="26">
        <v>5412</v>
      </c>
      <c r="C91" s="23">
        <f>SUMIF('2015 Factor % to units'!B:B,B91,'2015 Factor % to units'!BG:BG)</f>
        <v>273.3062240663898</v>
      </c>
      <c r="D91" s="1035">
        <f t="shared" si="2"/>
        <v>234813.77546887947</v>
      </c>
    </row>
    <row r="92" spans="1:4" x14ac:dyDescent="0.2">
      <c r="A92" s="25" t="s">
        <v>73</v>
      </c>
      <c r="B92" s="26">
        <v>5414</v>
      </c>
      <c r="C92" s="23">
        <f>SUMIF('2015 Factor % to units'!B:B,B92,'2015 Factor % to units'!BG:BG)</f>
        <v>167.60898138006527</v>
      </c>
      <c r="D92" s="1035">
        <f t="shared" si="2"/>
        <v>144002.93244249688</v>
      </c>
    </row>
    <row r="93" spans="1:4" x14ac:dyDescent="0.2">
      <c r="A93" s="9" t="s">
        <v>912</v>
      </c>
      <c r="B93" s="10"/>
      <c r="C93" s="23">
        <f>SUMIF('2015 Factor % to units'!B:B,B93,'2015 Factor % to units'!BG:BG)</f>
        <v>0</v>
      </c>
      <c r="D93" s="1035">
        <f t="shared" si="2"/>
        <v>0</v>
      </c>
    </row>
    <row r="94" spans="1:4" x14ac:dyDescent="0.2">
      <c r="A94" s="9" t="s">
        <v>597</v>
      </c>
      <c r="B94" s="10">
        <v>6905</v>
      </c>
      <c r="C94" s="23">
        <f>SUMIF('2015 Factor % to units'!B:B,B94,'2015 Factor % to units'!BG:BG)</f>
        <v>137.29066666666694</v>
      </c>
      <c r="D94" s="1035">
        <f t="shared" si="2"/>
        <v>117954.64917333356</v>
      </c>
    </row>
    <row r="95" spans="1:4" x14ac:dyDescent="0.2">
      <c r="A95" s="25"/>
      <c r="B95" s="26"/>
      <c r="C95" s="23"/>
      <c r="D95" s="1036"/>
    </row>
    <row r="96" spans="1:4" x14ac:dyDescent="0.2">
      <c r="A96" s="24" t="s">
        <v>115</v>
      </c>
      <c r="B96" s="24" t="s">
        <v>115</v>
      </c>
      <c r="C96" s="29">
        <f>SUM(C81:C94)</f>
        <v>3535.9603976058143</v>
      </c>
      <c r="D96" s="1019">
        <f>SUM(D81:D94)</f>
        <v>3037955.7352070115</v>
      </c>
    </row>
    <row r="97" spans="1:5" x14ac:dyDescent="0.2">
      <c r="A97" s="24"/>
      <c r="B97" s="24"/>
      <c r="C97" s="29"/>
      <c r="D97" s="1019"/>
    </row>
    <row r="98" spans="1:5" x14ac:dyDescent="0.2">
      <c r="A98" s="9" t="s">
        <v>114</v>
      </c>
      <c r="B98" s="26">
        <v>4177</v>
      </c>
      <c r="C98" s="23">
        <f>SUMIF('2015 Factor % to units'!B:B,B98,'2015 Factor % to units'!BG:BG)</f>
        <v>355.75957446808502</v>
      </c>
      <c r="D98" s="1035">
        <f>D$2*C98</f>
        <v>305654.39599999989</v>
      </c>
    </row>
    <row r="99" spans="1:5" x14ac:dyDescent="0.2">
      <c r="A99" s="1"/>
      <c r="B99" s="24"/>
      <c r="C99" s="1019"/>
      <c r="D99" s="1019"/>
    </row>
    <row r="100" spans="1:5" x14ac:dyDescent="0.2">
      <c r="A100" s="1" t="s">
        <v>914</v>
      </c>
      <c r="B100" s="1" t="s">
        <v>915</v>
      </c>
      <c r="C100" s="1019">
        <f>C98</f>
        <v>355.75957446808502</v>
      </c>
      <c r="D100" s="1019">
        <f>D98</f>
        <v>305654.39599999989</v>
      </c>
    </row>
    <row r="101" spans="1:5" x14ac:dyDescent="0.2">
      <c r="A101" s="25"/>
      <c r="B101" s="26"/>
      <c r="C101" s="1009"/>
      <c r="D101" s="1036"/>
    </row>
    <row r="102" spans="1:5" x14ac:dyDescent="0.2">
      <c r="A102" s="24" t="s">
        <v>116</v>
      </c>
      <c r="B102" s="24" t="s">
        <v>117</v>
      </c>
      <c r="C102" s="1019">
        <f>C96+C79+C100</f>
        <v>3891.719972073899</v>
      </c>
      <c r="D102" s="1019">
        <f>D96+D79+D100</f>
        <v>3343610.1312070112</v>
      </c>
    </row>
    <row r="104" spans="1:5" x14ac:dyDescent="0.2">
      <c r="D104" s="1021">
        <f>'2015-16 FORMULA'!F97</f>
        <v>3343610.1312070112</v>
      </c>
    </row>
    <row r="105" spans="1:5" x14ac:dyDescent="0.2">
      <c r="D105" s="1021">
        <f>D104-D102</f>
        <v>0</v>
      </c>
    </row>
    <row r="106" spans="1:5" x14ac:dyDescent="0.2">
      <c r="B106" s="30" t="s">
        <v>1061</v>
      </c>
      <c r="C106" s="1011">
        <f>'2015 Factor % to units'!BG93</f>
        <v>3891.7199720738995</v>
      </c>
      <c r="D106" s="1011"/>
      <c r="E106" s="17"/>
    </row>
    <row r="107" spans="1:5" x14ac:dyDescent="0.2">
      <c r="B107" s="1" t="s">
        <v>934</v>
      </c>
      <c r="C107" s="1011">
        <f>C106-C102</f>
        <v>0</v>
      </c>
      <c r="D107" s="1037"/>
    </row>
    <row r="109" spans="1:5" x14ac:dyDescent="0.2">
      <c r="A109" t="s">
        <v>1064</v>
      </c>
    </row>
    <row r="113" spans="1:2" x14ac:dyDescent="0.2">
      <c r="A113" s="79" t="s">
        <v>249</v>
      </c>
      <c r="B113" s="79">
        <v>206189</v>
      </c>
    </row>
    <row r="114" spans="1:2" x14ac:dyDescent="0.2">
      <c r="A114" s="1158" t="s">
        <v>10</v>
      </c>
      <c r="B114" s="94">
        <v>2012</v>
      </c>
    </row>
    <row r="115" spans="1:2" x14ac:dyDescent="0.2">
      <c r="A115" s="1158" t="s">
        <v>73</v>
      </c>
      <c r="B115" s="94">
        <v>5414</v>
      </c>
    </row>
    <row r="116" spans="1:2" x14ac:dyDescent="0.2">
      <c r="A116" s="1158" t="s">
        <v>912</v>
      </c>
      <c r="B116" s="94">
        <v>4000</v>
      </c>
    </row>
    <row r="117" spans="1:2" x14ac:dyDescent="0.2">
      <c r="A117" s="79" t="s">
        <v>11</v>
      </c>
      <c r="B117" s="79">
        <v>2443</v>
      </c>
    </row>
    <row r="118" spans="1:2" x14ac:dyDescent="0.2">
      <c r="A118" s="1158" t="s">
        <v>94</v>
      </c>
      <c r="B118" s="94">
        <v>2442</v>
      </c>
    </row>
    <row r="119" spans="1:2" x14ac:dyDescent="0.2">
      <c r="A119" s="80" t="s">
        <v>252</v>
      </c>
      <c r="B119" s="80" t="s">
        <v>253</v>
      </c>
    </row>
    <row r="120" spans="1:2" x14ac:dyDescent="0.2">
      <c r="A120" s="79" t="s">
        <v>13</v>
      </c>
      <c r="B120" s="79">
        <v>2629</v>
      </c>
    </row>
    <row r="121" spans="1:2" x14ac:dyDescent="0.2">
      <c r="A121" s="1158" t="s">
        <v>14</v>
      </c>
      <c r="B121" s="94">
        <v>2509</v>
      </c>
    </row>
    <row r="122" spans="1:2" x14ac:dyDescent="0.2">
      <c r="A122" s="79" t="s">
        <v>2</v>
      </c>
      <c r="B122" s="79">
        <v>1014</v>
      </c>
    </row>
    <row r="123" spans="1:2" x14ac:dyDescent="0.2">
      <c r="A123" s="1158" t="s">
        <v>15</v>
      </c>
      <c r="B123" s="94">
        <v>2005</v>
      </c>
    </row>
    <row r="124" spans="1:2" x14ac:dyDescent="0.2">
      <c r="A124" s="79" t="s">
        <v>16</v>
      </c>
      <c r="B124" s="79">
        <v>2464</v>
      </c>
    </row>
    <row r="125" spans="1:2" x14ac:dyDescent="0.2">
      <c r="A125" s="661" t="s">
        <v>763</v>
      </c>
      <c r="B125" s="697" t="s">
        <v>765</v>
      </c>
    </row>
    <row r="126" spans="1:2" x14ac:dyDescent="0.2">
      <c r="A126" s="79" t="s">
        <v>17</v>
      </c>
      <c r="B126" s="79">
        <v>2004</v>
      </c>
    </row>
    <row r="127" spans="1:2" x14ac:dyDescent="0.2">
      <c r="A127" s="79" t="s">
        <v>18</v>
      </c>
      <c r="B127" s="79">
        <v>2405</v>
      </c>
    </row>
    <row r="128" spans="1:2" x14ac:dyDescent="0.2">
      <c r="A128" s="79" t="s">
        <v>254</v>
      </c>
      <c r="B128" s="79" t="s">
        <v>256</v>
      </c>
    </row>
    <row r="129" spans="1:2" ht="15" x14ac:dyDescent="0.25">
      <c r="A129" s="1160" t="s">
        <v>261</v>
      </c>
      <c r="B129" s="1162" t="s">
        <v>766</v>
      </c>
    </row>
    <row r="130" spans="1:2" x14ac:dyDescent="0.2">
      <c r="A130" s="1163" t="s">
        <v>257</v>
      </c>
      <c r="B130" s="1164" t="s">
        <v>258</v>
      </c>
    </row>
    <row r="131" spans="1:2" x14ac:dyDescent="0.2">
      <c r="A131" s="1160" t="s">
        <v>259</v>
      </c>
      <c r="B131" s="1165" t="s">
        <v>260</v>
      </c>
    </row>
    <row r="132" spans="1:2" x14ac:dyDescent="0.2">
      <c r="A132" s="79" t="s">
        <v>19</v>
      </c>
      <c r="B132" s="79">
        <v>2011</v>
      </c>
    </row>
    <row r="133" spans="1:2" x14ac:dyDescent="0.2">
      <c r="A133" s="80" t="s">
        <v>262</v>
      </c>
      <c r="B133" s="80" t="s">
        <v>263</v>
      </c>
    </row>
    <row r="134" spans="1:2" x14ac:dyDescent="0.2">
      <c r="A134" s="79" t="s">
        <v>20</v>
      </c>
      <c r="B134" s="79">
        <v>5201</v>
      </c>
    </row>
    <row r="135" spans="1:2" x14ac:dyDescent="0.2">
      <c r="A135" s="79" t="s">
        <v>264</v>
      </c>
      <c r="B135" s="79">
        <v>206124</v>
      </c>
    </row>
    <row r="136" spans="1:2" x14ac:dyDescent="0.2">
      <c r="A136" s="79" t="s">
        <v>21</v>
      </c>
      <c r="B136" s="79">
        <v>2433</v>
      </c>
    </row>
    <row r="137" spans="1:2" x14ac:dyDescent="0.2">
      <c r="A137" s="1158" t="s">
        <v>22</v>
      </c>
      <c r="B137" s="94">
        <v>2432</v>
      </c>
    </row>
    <row r="138" spans="1:2" x14ac:dyDescent="0.2">
      <c r="A138" s="79" t="s">
        <v>267</v>
      </c>
      <c r="B138" s="79" t="s">
        <v>269</v>
      </c>
    </row>
    <row r="139" spans="1:2" x14ac:dyDescent="0.2">
      <c r="A139" s="79" t="s">
        <v>199</v>
      </c>
      <c r="B139" s="79">
        <v>2447</v>
      </c>
    </row>
    <row r="140" spans="1:2" x14ac:dyDescent="0.2">
      <c r="A140" s="79" t="s">
        <v>23</v>
      </c>
      <c r="B140" s="79">
        <v>2512</v>
      </c>
    </row>
    <row r="141" spans="1:2" x14ac:dyDescent="0.2">
      <c r="A141" s="79" t="s">
        <v>270</v>
      </c>
      <c r="B141" s="79">
        <v>206126</v>
      </c>
    </row>
    <row r="142" spans="1:2" x14ac:dyDescent="0.2">
      <c r="A142" s="79" t="s">
        <v>272</v>
      </c>
      <c r="B142" s="79">
        <v>206111</v>
      </c>
    </row>
    <row r="143" spans="1:2" x14ac:dyDescent="0.2">
      <c r="A143" s="79" t="s">
        <v>274</v>
      </c>
      <c r="B143" s="79">
        <v>206091</v>
      </c>
    </row>
    <row r="144" spans="1:2" x14ac:dyDescent="0.2">
      <c r="A144" s="79" t="s">
        <v>24</v>
      </c>
      <c r="B144" s="79">
        <v>2456</v>
      </c>
    </row>
    <row r="145" spans="1:2" x14ac:dyDescent="0.2">
      <c r="A145" s="79" t="s">
        <v>3</v>
      </c>
      <c r="B145" s="79">
        <v>1017</v>
      </c>
    </row>
    <row r="146" spans="1:2" x14ac:dyDescent="0.2">
      <c r="A146" s="79" t="s">
        <v>25</v>
      </c>
      <c r="B146" s="79">
        <v>2449</v>
      </c>
    </row>
    <row r="147" spans="1:2" x14ac:dyDescent="0.2">
      <c r="A147" s="1158" t="s">
        <v>26</v>
      </c>
      <c r="B147" s="79">
        <v>2448</v>
      </c>
    </row>
    <row r="148" spans="1:2" x14ac:dyDescent="0.2">
      <c r="A148" s="79" t="s">
        <v>4</v>
      </c>
      <c r="B148" s="79">
        <v>1006</v>
      </c>
    </row>
    <row r="149" spans="1:2" x14ac:dyDescent="0.2">
      <c r="A149" s="79" t="s">
        <v>27</v>
      </c>
      <c r="B149" s="79">
        <v>2467</v>
      </c>
    </row>
    <row r="150" spans="1:2" x14ac:dyDescent="0.2">
      <c r="A150" s="1158" t="s">
        <v>75</v>
      </c>
      <c r="B150" s="94">
        <v>5402</v>
      </c>
    </row>
    <row r="151" spans="1:2" x14ac:dyDescent="0.2">
      <c r="A151" s="1158" t="s">
        <v>28</v>
      </c>
      <c r="B151" s="94">
        <v>2455</v>
      </c>
    </row>
    <row r="152" spans="1:2" x14ac:dyDescent="0.2">
      <c r="A152" s="1158" t="s">
        <v>29</v>
      </c>
      <c r="B152" s="94">
        <v>5203</v>
      </c>
    </row>
    <row r="153" spans="1:2" x14ac:dyDescent="0.2">
      <c r="A153" s="107" t="s">
        <v>30</v>
      </c>
      <c r="B153" s="79">
        <v>2451</v>
      </c>
    </row>
    <row r="154" spans="1:2" x14ac:dyDescent="0.2">
      <c r="A154" s="80" t="s">
        <v>276</v>
      </c>
      <c r="B154" s="80" t="s">
        <v>277</v>
      </c>
    </row>
    <row r="155" spans="1:2" x14ac:dyDescent="0.2">
      <c r="A155" s="79" t="s">
        <v>278</v>
      </c>
      <c r="B155" s="79">
        <v>206128</v>
      </c>
    </row>
    <row r="156" spans="1:2" x14ac:dyDescent="0.2">
      <c r="A156" s="1158" t="s">
        <v>452</v>
      </c>
      <c r="B156" s="94">
        <v>4002</v>
      </c>
    </row>
    <row r="157" spans="1:2" x14ac:dyDescent="0.2">
      <c r="A157" s="456" t="s">
        <v>455</v>
      </c>
      <c r="B157" s="79">
        <v>2430</v>
      </c>
    </row>
    <row r="158" spans="1:2" x14ac:dyDescent="0.2">
      <c r="A158" s="1167" t="s">
        <v>768</v>
      </c>
      <c r="B158" s="1169" t="s">
        <v>769</v>
      </c>
    </row>
    <row r="159" spans="1:2" x14ac:dyDescent="0.2">
      <c r="A159" s="1158" t="s">
        <v>68</v>
      </c>
      <c r="B159" s="94">
        <v>4608</v>
      </c>
    </row>
    <row r="160" spans="1:2" x14ac:dyDescent="0.2">
      <c r="A160" s="1158" t="s">
        <v>31</v>
      </c>
      <c r="B160" s="94">
        <v>2409</v>
      </c>
    </row>
    <row r="161" spans="1:2" x14ac:dyDescent="0.2">
      <c r="A161" s="1170" t="s">
        <v>281</v>
      </c>
      <c r="B161" s="1168" t="s">
        <v>282</v>
      </c>
    </row>
    <row r="162" spans="1:2" x14ac:dyDescent="0.2">
      <c r="A162" s="1171" t="s">
        <v>1401</v>
      </c>
      <c r="B162" s="1173" t="s">
        <v>771</v>
      </c>
    </row>
    <row r="163" spans="1:2" x14ac:dyDescent="0.2">
      <c r="A163" s="1174" t="s">
        <v>539</v>
      </c>
      <c r="B163" s="96">
        <v>205921</v>
      </c>
    </row>
    <row r="164" spans="1:2" x14ac:dyDescent="0.2">
      <c r="A164" s="1171" t="s">
        <v>1372</v>
      </c>
      <c r="B164" s="1154" t="s">
        <v>776</v>
      </c>
    </row>
    <row r="165" spans="1:2" x14ac:dyDescent="0.2">
      <c r="A165" s="1174" t="s">
        <v>538</v>
      </c>
      <c r="B165" s="96">
        <v>205999</v>
      </c>
    </row>
    <row r="166" spans="1:2" x14ac:dyDescent="0.2">
      <c r="A166" s="96" t="s">
        <v>537</v>
      </c>
      <c r="B166" s="95" t="s">
        <v>283</v>
      </c>
    </row>
    <row r="167" spans="1:2" x14ac:dyDescent="0.2">
      <c r="A167" s="1171" t="s">
        <v>1373</v>
      </c>
      <c r="B167" s="1153">
        <v>206065</v>
      </c>
    </row>
    <row r="168" spans="1:2" x14ac:dyDescent="0.2">
      <c r="A168" s="1175" t="s">
        <v>1375</v>
      </c>
      <c r="B168" s="1154" t="s">
        <v>787</v>
      </c>
    </row>
    <row r="169" spans="1:2" x14ac:dyDescent="0.2">
      <c r="A169" s="456" t="s">
        <v>589</v>
      </c>
      <c r="B169" s="1176" t="s">
        <v>288</v>
      </c>
    </row>
    <row r="170" spans="1:2" x14ac:dyDescent="0.2">
      <c r="A170" s="1177" t="s">
        <v>540</v>
      </c>
      <c r="B170" s="96">
        <v>205922</v>
      </c>
    </row>
    <row r="171" spans="1:2" x14ac:dyDescent="0.2">
      <c r="A171" s="456" t="s">
        <v>587</v>
      </c>
      <c r="B171" s="1154" t="s">
        <v>784</v>
      </c>
    </row>
    <row r="172" spans="1:2" x14ac:dyDescent="0.2">
      <c r="A172" s="1171" t="s">
        <v>1374</v>
      </c>
      <c r="B172" s="1154" t="s">
        <v>781</v>
      </c>
    </row>
    <row r="173" spans="1:2" x14ac:dyDescent="0.2">
      <c r="A173" s="1171" t="s">
        <v>1376</v>
      </c>
      <c r="B173" s="1178">
        <v>205919</v>
      </c>
    </row>
    <row r="174" spans="1:2" x14ac:dyDescent="0.2">
      <c r="A174" s="96" t="s">
        <v>541</v>
      </c>
      <c r="B174" s="95" t="s">
        <v>287</v>
      </c>
    </row>
    <row r="175" spans="1:2" x14ac:dyDescent="0.2">
      <c r="A175" s="1171" t="s">
        <v>1377</v>
      </c>
      <c r="B175" s="1179" t="s">
        <v>791</v>
      </c>
    </row>
    <row r="176" spans="1:2" x14ac:dyDescent="0.2">
      <c r="A176" s="1171" t="s">
        <v>1378</v>
      </c>
      <c r="B176" s="1169" t="s">
        <v>793</v>
      </c>
    </row>
    <row r="177" spans="1:2" x14ac:dyDescent="0.2">
      <c r="A177" s="1180" t="s">
        <v>1380</v>
      </c>
      <c r="B177" s="1154" t="s">
        <v>796</v>
      </c>
    </row>
    <row r="178" spans="1:2" x14ac:dyDescent="0.2">
      <c r="A178" s="1181" t="s">
        <v>1379</v>
      </c>
      <c r="B178" s="697">
        <v>205849</v>
      </c>
    </row>
    <row r="179" spans="1:2" x14ac:dyDescent="0.2">
      <c r="A179" s="456" t="s">
        <v>594</v>
      </c>
      <c r="B179" s="1176" t="s">
        <v>284</v>
      </c>
    </row>
    <row r="180" spans="1:2" x14ac:dyDescent="0.2">
      <c r="A180" s="1182" t="s">
        <v>1381</v>
      </c>
      <c r="B180" s="1154" t="s">
        <v>798</v>
      </c>
    </row>
    <row r="181" spans="1:2" x14ac:dyDescent="0.2">
      <c r="A181" s="1183" t="s">
        <v>1385</v>
      </c>
      <c r="B181" s="1184">
        <v>205922</v>
      </c>
    </row>
    <row r="182" spans="1:2" x14ac:dyDescent="0.2">
      <c r="A182" s="1185" t="s">
        <v>1384</v>
      </c>
      <c r="B182" s="1179">
        <v>205881</v>
      </c>
    </row>
    <row r="183" spans="1:2" x14ac:dyDescent="0.2">
      <c r="A183" s="1186" t="s">
        <v>1382</v>
      </c>
      <c r="B183" s="1187" t="s">
        <v>801</v>
      </c>
    </row>
    <row r="184" spans="1:2" x14ac:dyDescent="0.2">
      <c r="A184" s="1174" t="s">
        <v>542</v>
      </c>
      <c r="B184" s="96" t="s">
        <v>289</v>
      </c>
    </row>
    <row r="185" spans="1:2" x14ac:dyDescent="0.2">
      <c r="A185" s="1171" t="s">
        <v>1383</v>
      </c>
      <c r="B185" s="1179" t="s">
        <v>806</v>
      </c>
    </row>
    <row r="186" spans="1:2" x14ac:dyDescent="0.2">
      <c r="A186" s="1185" t="s">
        <v>807</v>
      </c>
      <c r="B186" s="1179" t="s">
        <v>808</v>
      </c>
    </row>
    <row r="187" spans="1:2" x14ac:dyDescent="0.2">
      <c r="A187" s="1185" t="s">
        <v>1386</v>
      </c>
      <c r="B187" s="1189" t="s">
        <v>811</v>
      </c>
    </row>
    <row r="188" spans="1:2" x14ac:dyDescent="0.2">
      <c r="A188" s="1181" t="s">
        <v>543</v>
      </c>
      <c r="B188" s="96">
        <v>2</v>
      </c>
    </row>
    <row r="189" spans="1:2" x14ac:dyDescent="0.2">
      <c r="A189" s="1192" t="s">
        <v>1387</v>
      </c>
      <c r="B189" s="1150" t="s">
        <v>668</v>
      </c>
    </row>
    <row r="190" spans="1:2" x14ac:dyDescent="0.2">
      <c r="A190" s="693" t="s">
        <v>1388</v>
      </c>
      <c r="B190" s="1179" t="s">
        <v>686</v>
      </c>
    </row>
    <row r="191" spans="1:2" x14ac:dyDescent="0.2">
      <c r="A191" s="96" t="s">
        <v>544</v>
      </c>
      <c r="B191" s="1184">
        <v>205956</v>
      </c>
    </row>
    <row r="192" spans="1:2" x14ac:dyDescent="0.2">
      <c r="A192" s="702" t="s">
        <v>1389</v>
      </c>
      <c r="B192" s="1169">
        <v>260849</v>
      </c>
    </row>
    <row r="193" spans="1:2" x14ac:dyDescent="0.2">
      <c r="A193" s="693" t="s">
        <v>1390</v>
      </c>
      <c r="B193" s="1169" t="s">
        <v>818</v>
      </c>
    </row>
    <row r="194" spans="1:2" x14ac:dyDescent="0.2">
      <c r="A194" s="1193" t="s">
        <v>1391</v>
      </c>
      <c r="B194" s="1165" t="s">
        <v>291</v>
      </c>
    </row>
    <row r="195" spans="1:2" x14ac:dyDescent="0.2">
      <c r="A195" s="1145" t="s">
        <v>1392</v>
      </c>
      <c r="B195" s="1154" t="s">
        <v>821</v>
      </c>
    </row>
    <row r="196" spans="1:2" x14ac:dyDescent="0.2">
      <c r="A196" s="1142" t="s">
        <v>1394</v>
      </c>
      <c r="B196" s="1154" t="s">
        <v>825</v>
      </c>
    </row>
    <row r="197" spans="1:2" x14ac:dyDescent="0.2">
      <c r="A197" s="1142" t="s">
        <v>1393</v>
      </c>
      <c r="B197" s="1189" t="s">
        <v>823</v>
      </c>
    </row>
    <row r="198" spans="1:2" x14ac:dyDescent="0.2">
      <c r="A198" s="583" t="s">
        <v>1396</v>
      </c>
      <c r="B198" s="1154" t="s">
        <v>830</v>
      </c>
    </row>
    <row r="199" spans="1:2" x14ac:dyDescent="0.2">
      <c r="A199" s="1143" t="s">
        <v>1395</v>
      </c>
      <c r="B199" s="1154" t="s">
        <v>827</v>
      </c>
    </row>
    <row r="200" spans="1:2" x14ac:dyDescent="0.2">
      <c r="A200" s="1181" t="s">
        <v>591</v>
      </c>
      <c r="B200" s="95" t="s">
        <v>293</v>
      </c>
    </row>
    <row r="201" spans="1:2" x14ac:dyDescent="0.2">
      <c r="A201" s="1142" t="s">
        <v>1402</v>
      </c>
      <c r="B201" s="697" t="s">
        <v>833</v>
      </c>
    </row>
    <row r="202" spans="1:2" x14ac:dyDescent="0.2">
      <c r="A202" s="1142" t="s">
        <v>1403</v>
      </c>
      <c r="B202" s="1154" t="s">
        <v>835</v>
      </c>
    </row>
    <row r="203" spans="1:2" x14ac:dyDescent="0.2">
      <c r="A203" s="1174" t="s">
        <v>547</v>
      </c>
      <c r="B203" s="95" t="s">
        <v>295</v>
      </c>
    </row>
    <row r="204" spans="1:2" x14ac:dyDescent="0.2">
      <c r="A204" s="1148" t="s">
        <v>1397</v>
      </c>
      <c r="B204" s="1154">
        <v>206031</v>
      </c>
    </row>
    <row r="205" spans="1:2" x14ac:dyDescent="0.2">
      <c r="A205" s="1174" t="s">
        <v>546</v>
      </c>
      <c r="B205" s="95" t="s">
        <v>296</v>
      </c>
    </row>
    <row r="206" spans="1:2" x14ac:dyDescent="0.2">
      <c r="A206" s="96" t="s">
        <v>545</v>
      </c>
      <c r="B206" s="95" t="s">
        <v>294</v>
      </c>
    </row>
    <row r="207" spans="1:2" x14ac:dyDescent="0.2">
      <c r="A207" s="1143" t="s">
        <v>1398</v>
      </c>
      <c r="B207" s="1154" t="s">
        <v>840</v>
      </c>
    </row>
    <row r="208" spans="1:2" x14ac:dyDescent="0.2">
      <c r="A208" s="96" t="s">
        <v>1371</v>
      </c>
      <c r="B208" s="95" t="s">
        <v>298</v>
      </c>
    </row>
    <row r="209" spans="1:2" x14ac:dyDescent="0.2">
      <c r="A209" s="1143" t="s">
        <v>1407</v>
      </c>
      <c r="B209" s="1179" t="s">
        <v>844</v>
      </c>
    </row>
    <row r="210" spans="1:2" x14ac:dyDescent="0.2">
      <c r="A210" s="1181" t="s">
        <v>592</v>
      </c>
      <c r="B210" s="1184">
        <v>206043</v>
      </c>
    </row>
    <row r="211" spans="1:2" x14ac:dyDescent="0.2">
      <c r="A211" s="1177" t="s">
        <v>548</v>
      </c>
      <c r="B211" s="95" t="s">
        <v>299</v>
      </c>
    </row>
    <row r="212" spans="1:2" x14ac:dyDescent="0.2">
      <c r="A212" s="1194" t="s">
        <v>590</v>
      </c>
      <c r="B212" s="1195" t="s">
        <v>292</v>
      </c>
    </row>
    <row r="213" spans="1:2" x14ac:dyDescent="0.2">
      <c r="A213" s="1196" t="s">
        <v>593</v>
      </c>
      <c r="B213" s="1197" t="s">
        <v>297</v>
      </c>
    </row>
    <row r="214" spans="1:2" x14ac:dyDescent="0.2">
      <c r="A214" s="1143" t="s">
        <v>1406</v>
      </c>
      <c r="B214" s="1154">
        <v>206067</v>
      </c>
    </row>
    <row r="215" spans="1:2" ht="15" x14ac:dyDescent="0.2">
      <c r="A215" s="1177" t="s">
        <v>549</v>
      </c>
      <c r="B215" s="97" t="s">
        <v>300</v>
      </c>
    </row>
    <row r="216" spans="1:2" x14ac:dyDescent="0.2">
      <c r="A216" s="1190" t="s">
        <v>1400</v>
      </c>
      <c r="B216" s="1191" t="s">
        <v>290</v>
      </c>
    </row>
    <row r="217" spans="1:2" x14ac:dyDescent="0.2">
      <c r="A217" s="1198" t="s">
        <v>550</v>
      </c>
      <c r="B217" s="98" t="s">
        <v>301</v>
      </c>
    </row>
    <row r="218" spans="1:2" x14ac:dyDescent="0.2">
      <c r="A218" s="1147" t="s">
        <v>1404</v>
      </c>
      <c r="B218" s="1209" t="s">
        <v>854</v>
      </c>
    </row>
    <row r="219" spans="1:2" x14ac:dyDescent="0.2">
      <c r="A219" s="456" t="s">
        <v>595</v>
      </c>
      <c r="B219" s="1176" t="s">
        <v>285</v>
      </c>
    </row>
    <row r="220" spans="1:2" x14ac:dyDescent="0.2">
      <c r="A220" s="1147" t="s">
        <v>1405</v>
      </c>
      <c r="B220" s="1209" t="s">
        <v>856</v>
      </c>
    </row>
    <row r="221" spans="1:2" x14ac:dyDescent="0.2">
      <c r="A221" s="87" t="s">
        <v>302</v>
      </c>
      <c r="B221" s="88" t="s">
        <v>303</v>
      </c>
    </row>
    <row r="222" spans="1:2" x14ac:dyDescent="0.2">
      <c r="A222" s="79" t="s">
        <v>304</v>
      </c>
      <c r="B222" s="79" t="s">
        <v>306</v>
      </c>
    </row>
    <row r="223" spans="1:2" x14ac:dyDescent="0.2">
      <c r="A223" s="1144" t="s">
        <v>858</v>
      </c>
      <c r="B223" s="1169" t="s">
        <v>859</v>
      </c>
    </row>
    <row r="224" spans="1:2" x14ac:dyDescent="0.2">
      <c r="A224" s="1158" t="s">
        <v>111</v>
      </c>
      <c r="B224" s="94">
        <v>4178</v>
      </c>
    </row>
    <row r="225" spans="1:2" x14ac:dyDescent="0.2">
      <c r="A225" s="1158" t="s">
        <v>98</v>
      </c>
      <c r="B225" s="94">
        <v>3158</v>
      </c>
    </row>
    <row r="226" spans="1:2" x14ac:dyDescent="0.2">
      <c r="A226" s="79" t="s">
        <v>32</v>
      </c>
      <c r="B226" s="79">
        <v>2619</v>
      </c>
    </row>
    <row r="227" spans="1:2" x14ac:dyDescent="0.2">
      <c r="A227" s="1141" t="s">
        <v>860</v>
      </c>
      <c r="B227" s="1154" t="s">
        <v>861</v>
      </c>
    </row>
    <row r="228" spans="1:2" x14ac:dyDescent="0.2">
      <c r="A228" s="79" t="s">
        <v>307</v>
      </c>
      <c r="B228" s="80" t="s">
        <v>308</v>
      </c>
    </row>
    <row r="229" spans="1:2" x14ac:dyDescent="0.2">
      <c r="A229" s="79" t="s">
        <v>309</v>
      </c>
      <c r="B229" s="79">
        <v>258417</v>
      </c>
    </row>
    <row r="230" spans="1:2" x14ac:dyDescent="0.2">
      <c r="A230" s="79" t="s">
        <v>311</v>
      </c>
      <c r="B230" s="79" t="s">
        <v>313</v>
      </c>
    </row>
    <row r="231" spans="1:2" x14ac:dyDescent="0.2">
      <c r="A231" s="79" t="s">
        <v>314</v>
      </c>
      <c r="B231" s="79" t="s">
        <v>316</v>
      </c>
    </row>
    <row r="232" spans="1:2" x14ac:dyDescent="0.2">
      <c r="A232" s="79" t="s">
        <v>33</v>
      </c>
      <c r="B232" s="79">
        <v>2518</v>
      </c>
    </row>
    <row r="233" spans="1:2" x14ac:dyDescent="0.2">
      <c r="A233" s="1141" t="s">
        <v>862</v>
      </c>
      <c r="B233" s="1210" t="s">
        <v>863</v>
      </c>
    </row>
    <row r="234" spans="1:2" x14ac:dyDescent="0.2">
      <c r="A234" s="79" t="s">
        <v>317</v>
      </c>
      <c r="B234" s="79">
        <v>206106</v>
      </c>
    </row>
    <row r="235" spans="1:2" x14ac:dyDescent="0.2">
      <c r="A235" s="80" t="s">
        <v>319</v>
      </c>
      <c r="B235" s="80" t="s">
        <v>320</v>
      </c>
    </row>
    <row r="236" spans="1:2" x14ac:dyDescent="0.2">
      <c r="A236" s="1144" t="s">
        <v>864</v>
      </c>
      <c r="B236" s="1169" t="s">
        <v>865</v>
      </c>
    </row>
    <row r="237" spans="1:2" x14ac:dyDescent="0.2">
      <c r="A237" s="1158" t="s">
        <v>34</v>
      </c>
      <c r="B237" s="94">
        <v>2457</v>
      </c>
    </row>
    <row r="238" spans="1:2" x14ac:dyDescent="0.2">
      <c r="A238" s="1158" t="s">
        <v>99</v>
      </c>
      <c r="B238" s="79">
        <v>2010</v>
      </c>
    </row>
    <row r="239" spans="1:2" x14ac:dyDescent="0.2">
      <c r="A239" s="79" t="s">
        <v>35</v>
      </c>
      <c r="B239" s="79">
        <v>2002</v>
      </c>
    </row>
    <row r="240" spans="1:2" x14ac:dyDescent="0.2">
      <c r="A240" s="79" t="s">
        <v>36</v>
      </c>
      <c r="B240" s="79">
        <v>3544</v>
      </c>
    </row>
    <row r="241" spans="1:2" x14ac:dyDescent="0.2">
      <c r="A241" s="79" t="s">
        <v>5</v>
      </c>
      <c r="B241" s="79">
        <v>1008</v>
      </c>
    </row>
    <row r="242" spans="1:2" x14ac:dyDescent="0.2">
      <c r="A242" s="79" t="s">
        <v>321</v>
      </c>
      <c r="B242" s="79" t="s">
        <v>322</v>
      </c>
    </row>
    <row r="243" spans="1:2" x14ac:dyDescent="0.2">
      <c r="A243" s="79" t="s">
        <v>100</v>
      </c>
      <c r="B243" s="79">
        <v>2006</v>
      </c>
    </row>
    <row r="244" spans="1:2" x14ac:dyDescent="0.2">
      <c r="A244" s="80" t="s">
        <v>323</v>
      </c>
      <c r="B244" s="80" t="s">
        <v>324</v>
      </c>
    </row>
    <row r="245" spans="1:2" x14ac:dyDescent="0.2">
      <c r="A245" s="79" t="s">
        <v>325</v>
      </c>
      <c r="B245" s="79">
        <v>206133</v>
      </c>
    </row>
    <row r="246" spans="1:2" x14ac:dyDescent="0.2">
      <c r="A246" s="1149" t="s">
        <v>867</v>
      </c>
      <c r="B246" s="1169" t="s">
        <v>868</v>
      </c>
    </row>
    <row r="247" spans="1:2" x14ac:dyDescent="0.2">
      <c r="A247" s="79" t="s">
        <v>327</v>
      </c>
      <c r="B247" s="79" t="s">
        <v>329</v>
      </c>
    </row>
    <row r="248" spans="1:2" x14ac:dyDescent="0.2">
      <c r="A248" s="79" t="s">
        <v>330</v>
      </c>
      <c r="B248" s="79">
        <v>206134</v>
      </c>
    </row>
    <row r="249" spans="1:2" x14ac:dyDescent="0.2">
      <c r="A249" s="79" t="s">
        <v>334</v>
      </c>
      <c r="B249" s="79" t="s">
        <v>335</v>
      </c>
    </row>
    <row r="250" spans="1:2" x14ac:dyDescent="0.2">
      <c r="A250" s="1199" t="s">
        <v>332</v>
      </c>
      <c r="B250" s="1200" t="s">
        <v>333</v>
      </c>
    </row>
    <row r="251" spans="1:2" x14ac:dyDescent="0.2">
      <c r="A251" s="79" t="s">
        <v>336</v>
      </c>
      <c r="B251" s="79" t="s">
        <v>337</v>
      </c>
    </row>
    <row r="252" spans="1:2" x14ac:dyDescent="0.2">
      <c r="A252" s="79" t="s">
        <v>338</v>
      </c>
      <c r="B252" s="79">
        <v>206109</v>
      </c>
    </row>
    <row r="253" spans="1:2" x14ac:dyDescent="0.2">
      <c r="A253" s="79" t="s">
        <v>37</v>
      </c>
      <c r="B253" s="79">
        <v>2434</v>
      </c>
    </row>
    <row r="254" spans="1:2" x14ac:dyDescent="0.2">
      <c r="A254" s="1161" t="s">
        <v>597</v>
      </c>
      <c r="B254" s="147">
        <v>6905</v>
      </c>
    </row>
    <row r="255" spans="1:2" x14ac:dyDescent="0.2">
      <c r="A255" s="1158" t="s">
        <v>42</v>
      </c>
      <c r="B255" s="94">
        <v>2009</v>
      </c>
    </row>
    <row r="256" spans="1:2" x14ac:dyDescent="0.2">
      <c r="A256" s="1158" t="s">
        <v>38</v>
      </c>
      <c r="B256" s="94">
        <v>2522</v>
      </c>
    </row>
    <row r="257" spans="1:2" x14ac:dyDescent="0.2">
      <c r="A257" s="79" t="s">
        <v>340</v>
      </c>
      <c r="B257" s="79">
        <v>206110</v>
      </c>
    </row>
    <row r="258" spans="1:2" x14ac:dyDescent="0.2">
      <c r="A258" s="79" t="s">
        <v>342</v>
      </c>
      <c r="B258" s="79">
        <v>206135</v>
      </c>
    </row>
    <row r="259" spans="1:2" x14ac:dyDescent="0.2">
      <c r="A259" s="1158" t="s">
        <v>69</v>
      </c>
      <c r="B259" s="94">
        <v>4181</v>
      </c>
    </row>
    <row r="260" spans="1:2" x14ac:dyDescent="0.2">
      <c r="A260" s="79" t="s">
        <v>344</v>
      </c>
      <c r="B260" s="79">
        <v>509195</v>
      </c>
    </row>
    <row r="261" spans="1:2" x14ac:dyDescent="0.2">
      <c r="A261" s="87" t="s">
        <v>346</v>
      </c>
      <c r="B261" s="88" t="s">
        <v>347</v>
      </c>
    </row>
    <row r="262" spans="1:2" x14ac:dyDescent="0.2">
      <c r="A262" s="1201" t="s">
        <v>348</v>
      </c>
      <c r="B262" s="1202" t="s">
        <v>349</v>
      </c>
    </row>
    <row r="263" spans="1:2" x14ac:dyDescent="0.2">
      <c r="A263" s="79" t="s">
        <v>350</v>
      </c>
      <c r="B263" s="79" t="s">
        <v>352</v>
      </c>
    </row>
    <row r="264" spans="1:2" x14ac:dyDescent="0.2">
      <c r="A264" s="79" t="s">
        <v>353</v>
      </c>
      <c r="B264" s="79">
        <v>509199</v>
      </c>
    </row>
    <row r="265" spans="1:2" x14ac:dyDescent="0.2">
      <c r="A265" s="79" t="s">
        <v>355</v>
      </c>
      <c r="B265" s="79">
        <v>509197</v>
      </c>
    </row>
    <row r="266" spans="1:2" x14ac:dyDescent="0.2">
      <c r="A266" s="1151" t="s">
        <v>870</v>
      </c>
      <c r="B266" s="1211">
        <v>479383</v>
      </c>
    </row>
    <row r="267" spans="1:2" x14ac:dyDescent="0.2">
      <c r="A267" s="1170" t="s">
        <v>360</v>
      </c>
      <c r="B267" s="1168" t="s">
        <v>361</v>
      </c>
    </row>
    <row r="268" spans="1:2" x14ac:dyDescent="0.2">
      <c r="A268" s="1158" t="s">
        <v>70</v>
      </c>
      <c r="B268" s="94">
        <v>4182</v>
      </c>
    </row>
    <row r="269" spans="1:2" x14ac:dyDescent="0.2">
      <c r="A269" s="79" t="s">
        <v>357</v>
      </c>
      <c r="B269" s="79" t="s">
        <v>359</v>
      </c>
    </row>
    <row r="270" spans="1:2" x14ac:dyDescent="0.2">
      <c r="A270" s="79" t="s">
        <v>6</v>
      </c>
      <c r="B270" s="79">
        <v>1005</v>
      </c>
    </row>
    <row r="271" spans="1:2" x14ac:dyDescent="0.2">
      <c r="A271" s="489" t="s">
        <v>871</v>
      </c>
      <c r="B271" s="1179" t="s">
        <v>872</v>
      </c>
    </row>
    <row r="272" spans="1:2" x14ac:dyDescent="0.2">
      <c r="A272" s="1158" t="s">
        <v>39</v>
      </c>
      <c r="B272" s="94">
        <v>2436</v>
      </c>
    </row>
    <row r="273" spans="1:2" x14ac:dyDescent="0.2">
      <c r="A273" s="79" t="s">
        <v>362</v>
      </c>
      <c r="B273" s="79">
        <v>206117</v>
      </c>
    </row>
    <row r="274" spans="1:2" x14ac:dyDescent="0.2">
      <c r="A274" s="79" t="s">
        <v>40</v>
      </c>
      <c r="B274" s="79">
        <v>2452</v>
      </c>
    </row>
    <row r="275" spans="1:2" x14ac:dyDescent="0.2">
      <c r="A275" s="1158" t="s">
        <v>71</v>
      </c>
      <c r="B275" s="94">
        <v>4001</v>
      </c>
    </row>
    <row r="276" spans="1:2" x14ac:dyDescent="0.2">
      <c r="A276" s="79" t="s">
        <v>364</v>
      </c>
      <c r="B276" s="79">
        <v>206141</v>
      </c>
    </row>
    <row r="277" spans="1:2" x14ac:dyDescent="0.2">
      <c r="A277" s="1158" t="s">
        <v>41</v>
      </c>
      <c r="B277" s="94">
        <v>2627</v>
      </c>
    </row>
    <row r="278" spans="1:2" x14ac:dyDescent="0.2">
      <c r="A278" s="1158" t="s">
        <v>112</v>
      </c>
      <c r="B278" s="94">
        <v>5406</v>
      </c>
    </row>
    <row r="279" spans="1:2" x14ac:dyDescent="0.2">
      <c r="A279" s="1158" t="s">
        <v>113</v>
      </c>
      <c r="B279" s="94">
        <v>5407</v>
      </c>
    </row>
    <row r="280" spans="1:2" x14ac:dyDescent="0.2">
      <c r="A280" s="79" t="s">
        <v>366</v>
      </c>
      <c r="B280" s="79" t="s">
        <v>368</v>
      </c>
    </row>
    <row r="281" spans="1:2" x14ac:dyDescent="0.2">
      <c r="A281" s="79" t="s">
        <v>369</v>
      </c>
      <c r="B281" s="79">
        <v>258404</v>
      </c>
    </row>
    <row r="282" spans="1:2" x14ac:dyDescent="0.2">
      <c r="A282" s="1158" t="s">
        <v>101</v>
      </c>
      <c r="B282" s="79">
        <v>2473</v>
      </c>
    </row>
    <row r="283" spans="1:2" x14ac:dyDescent="0.2">
      <c r="A283" s="1158" t="s">
        <v>44</v>
      </c>
      <c r="B283" s="94">
        <v>2471</v>
      </c>
    </row>
    <row r="284" spans="1:2" x14ac:dyDescent="0.2">
      <c r="A284" s="79" t="s">
        <v>371</v>
      </c>
      <c r="B284" s="79">
        <v>258405</v>
      </c>
    </row>
    <row r="285" spans="1:2" x14ac:dyDescent="0.2">
      <c r="A285" s="79" t="s">
        <v>373</v>
      </c>
      <c r="B285" s="79">
        <v>258406</v>
      </c>
    </row>
    <row r="286" spans="1:2" x14ac:dyDescent="0.2">
      <c r="A286" s="79" t="s">
        <v>43</v>
      </c>
      <c r="B286" s="79">
        <v>2420</v>
      </c>
    </row>
    <row r="287" spans="1:2" x14ac:dyDescent="0.2">
      <c r="A287" s="79" t="s">
        <v>375</v>
      </c>
      <c r="B287" s="79">
        <v>206160</v>
      </c>
    </row>
    <row r="288" spans="1:2" x14ac:dyDescent="0.2">
      <c r="A288" s="79" t="s">
        <v>45</v>
      </c>
      <c r="B288" s="79">
        <v>2003</v>
      </c>
    </row>
    <row r="289" spans="1:2" x14ac:dyDescent="0.2">
      <c r="A289" s="1158" t="s">
        <v>46</v>
      </c>
      <c r="B289" s="94">
        <v>2423</v>
      </c>
    </row>
    <row r="290" spans="1:2" x14ac:dyDescent="0.2">
      <c r="A290" s="1158" t="s">
        <v>47</v>
      </c>
      <c r="B290" s="94">
        <v>2424</v>
      </c>
    </row>
    <row r="291" spans="1:2" x14ac:dyDescent="0.2">
      <c r="A291" s="79" t="s">
        <v>377</v>
      </c>
      <c r="B291" s="79" t="s">
        <v>379</v>
      </c>
    </row>
    <row r="292" spans="1:2" x14ac:dyDescent="0.2">
      <c r="A292" s="726" t="s">
        <v>873</v>
      </c>
      <c r="B292" s="1179" t="s">
        <v>874</v>
      </c>
    </row>
    <row r="293" spans="1:2" x14ac:dyDescent="0.2">
      <c r="A293" s="79" t="s">
        <v>382</v>
      </c>
      <c r="B293" s="79" t="s">
        <v>384</v>
      </c>
    </row>
    <row r="294" spans="1:2" x14ac:dyDescent="0.2">
      <c r="A294" s="79" t="s">
        <v>385</v>
      </c>
      <c r="B294" s="79">
        <v>206146</v>
      </c>
    </row>
    <row r="295" spans="1:2" x14ac:dyDescent="0.2">
      <c r="A295" s="1158" t="s">
        <v>48</v>
      </c>
      <c r="B295" s="94">
        <v>2439</v>
      </c>
    </row>
    <row r="296" spans="1:2" x14ac:dyDescent="0.2">
      <c r="A296" s="1158" t="s">
        <v>49</v>
      </c>
      <c r="B296" s="94">
        <v>2440</v>
      </c>
    </row>
    <row r="297" spans="1:2" x14ac:dyDescent="0.2">
      <c r="A297" s="80" t="s">
        <v>387</v>
      </c>
      <c r="B297" s="80" t="s">
        <v>388</v>
      </c>
    </row>
    <row r="298" spans="1:2" x14ac:dyDescent="0.2">
      <c r="A298" s="1158" t="s">
        <v>102</v>
      </c>
      <c r="B298" s="79">
        <v>2462</v>
      </c>
    </row>
    <row r="299" spans="1:2" x14ac:dyDescent="0.2">
      <c r="A299" s="1158" t="s">
        <v>50</v>
      </c>
      <c r="B299" s="94">
        <v>2463</v>
      </c>
    </row>
    <row r="300" spans="1:2" x14ac:dyDescent="0.2">
      <c r="A300" s="79" t="s">
        <v>51</v>
      </c>
      <c r="B300" s="79">
        <v>2505</v>
      </c>
    </row>
    <row r="301" spans="1:2" x14ac:dyDescent="0.2">
      <c r="A301" s="79" t="s">
        <v>52</v>
      </c>
      <c r="B301" s="79">
        <v>2000</v>
      </c>
    </row>
    <row r="302" spans="1:2" x14ac:dyDescent="0.2">
      <c r="A302" s="1158" t="s">
        <v>53</v>
      </c>
      <c r="B302" s="94">
        <v>2458</v>
      </c>
    </row>
    <row r="303" spans="1:2" x14ac:dyDescent="0.2">
      <c r="A303" s="79" t="s">
        <v>392</v>
      </c>
      <c r="B303" s="79" t="s">
        <v>394</v>
      </c>
    </row>
    <row r="304" spans="1:2" x14ac:dyDescent="0.2">
      <c r="A304" s="79" t="s">
        <v>54</v>
      </c>
      <c r="B304" s="79">
        <v>2001</v>
      </c>
    </row>
    <row r="305" spans="1:2" x14ac:dyDescent="0.2">
      <c r="A305" s="80" t="s">
        <v>395</v>
      </c>
      <c r="B305" s="80" t="s">
        <v>396</v>
      </c>
    </row>
    <row r="306" spans="1:2" x14ac:dyDescent="0.2">
      <c r="A306" s="79" t="s">
        <v>55</v>
      </c>
      <c r="B306" s="79">
        <v>2429</v>
      </c>
    </row>
    <row r="307" spans="1:2" x14ac:dyDescent="0.2">
      <c r="A307" s="79" t="s">
        <v>397</v>
      </c>
      <c r="B307" s="79">
        <v>113044</v>
      </c>
    </row>
    <row r="308" spans="1:2" x14ac:dyDescent="0.2">
      <c r="A308" s="79" t="s">
        <v>399</v>
      </c>
      <c r="B308" s="79" t="s">
        <v>401</v>
      </c>
    </row>
    <row r="309" spans="1:2" x14ac:dyDescent="0.2">
      <c r="A309" s="1158" t="s">
        <v>72</v>
      </c>
      <c r="B309" s="94">
        <v>4607</v>
      </c>
    </row>
    <row r="310" spans="1:2" x14ac:dyDescent="0.2">
      <c r="A310" s="665" t="s">
        <v>881</v>
      </c>
      <c r="B310" s="1169" t="s">
        <v>882</v>
      </c>
    </row>
    <row r="311" spans="1:2" x14ac:dyDescent="0.2">
      <c r="A311" s="726" t="s">
        <v>883</v>
      </c>
      <c r="B311" s="1154" t="s">
        <v>884</v>
      </c>
    </row>
    <row r="312" spans="1:2" x14ac:dyDescent="0.2">
      <c r="A312" s="79" t="s">
        <v>56</v>
      </c>
      <c r="B312" s="79">
        <v>2444</v>
      </c>
    </row>
    <row r="313" spans="1:2" x14ac:dyDescent="0.2">
      <c r="A313" s="1158" t="s">
        <v>57</v>
      </c>
      <c r="B313" s="94">
        <v>5209</v>
      </c>
    </row>
    <row r="314" spans="1:2" x14ac:dyDescent="0.2">
      <c r="A314" s="79" t="s">
        <v>402</v>
      </c>
      <c r="B314" s="79" t="s">
        <v>404</v>
      </c>
    </row>
    <row r="315" spans="1:2" x14ac:dyDescent="0.2">
      <c r="A315" s="79" t="s">
        <v>405</v>
      </c>
      <c r="B315" s="79" t="s">
        <v>407</v>
      </c>
    </row>
    <row r="316" spans="1:2" x14ac:dyDescent="0.2">
      <c r="A316" s="1158" t="s">
        <v>58</v>
      </c>
      <c r="B316" s="94">
        <v>2469</v>
      </c>
    </row>
    <row r="317" spans="1:2" x14ac:dyDescent="0.2">
      <c r="A317" s="79" t="s">
        <v>408</v>
      </c>
      <c r="B317" s="79" t="s">
        <v>410</v>
      </c>
    </row>
    <row r="318" spans="1:2" x14ac:dyDescent="0.2">
      <c r="A318" s="99" t="s">
        <v>411</v>
      </c>
      <c r="B318" s="99" t="s">
        <v>412</v>
      </c>
    </row>
    <row r="319" spans="1:2" x14ac:dyDescent="0.2">
      <c r="A319" s="1158" t="s">
        <v>59</v>
      </c>
      <c r="B319" s="94">
        <v>2466</v>
      </c>
    </row>
    <row r="320" spans="1:2" x14ac:dyDescent="0.2">
      <c r="A320" s="79" t="s">
        <v>60</v>
      </c>
      <c r="B320" s="79">
        <v>3543</v>
      </c>
    </row>
    <row r="321" spans="1:2" x14ac:dyDescent="0.2">
      <c r="A321" s="79" t="s">
        <v>413</v>
      </c>
      <c r="B321" s="79">
        <v>206152</v>
      </c>
    </row>
    <row r="322" spans="1:2" x14ac:dyDescent="0.2">
      <c r="A322" s="79" t="s">
        <v>415</v>
      </c>
      <c r="B322" s="79">
        <v>206153</v>
      </c>
    </row>
    <row r="323" spans="1:2" x14ac:dyDescent="0.2">
      <c r="A323" s="1158" t="s">
        <v>62</v>
      </c>
      <c r="B323" s="94">
        <v>3531</v>
      </c>
    </row>
    <row r="324" spans="1:2" x14ac:dyDescent="0.2">
      <c r="A324" s="79" t="s">
        <v>63</v>
      </c>
      <c r="B324" s="79">
        <v>3526</v>
      </c>
    </row>
    <row r="325" spans="1:2" x14ac:dyDescent="0.2">
      <c r="A325" s="1158" t="s">
        <v>104</v>
      </c>
      <c r="B325" s="94">
        <v>3535</v>
      </c>
    </row>
    <row r="326" spans="1:2" x14ac:dyDescent="0.2">
      <c r="A326" s="1203" t="s">
        <v>64</v>
      </c>
      <c r="B326" s="94">
        <v>2008</v>
      </c>
    </row>
    <row r="327" spans="1:2" x14ac:dyDescent="0.2">
      <c r="A327" s="1158" t="s">
        <v>105</v>
      </c>
      <c r="B327" s="94">
        <v>3542</v>
      </c>
    </row>
    <row r="328" spans="1:2" x14ac:dyDescent="0.2">
      <c r="A328" s="90" t="s">
        <v>417</v>
      </c>
      <c r="B328" s="79">
        <v>206154</v>
      </c>
    </row>
    <row r="329" spans="1:2" x14ac:dyDescent="0.2">
      <c r="A329" s="1158" t="s">
        <v>106</v>
      </c>
      <c r="B329" s="79">
        <v>3528</v>
      </c>
    </row>
    <row r="330" spans="1:2" x14ac:dyDescent="0.2">
      <c r="A330" s="80" t="s">
        <v>419</v>
      </c>
      <c r="B330" s="80" t="s">
        <v>420</v>
      </c>
    </row>
    <row r="331" spans="1:2" x14ac:dyDescent="0.2">
      <c r="A331" s="1158" t="s">
        <v>107</v>
      </c>
      <c r="B331" s="94">
        <v>3534</v>
      </c>
    </row>
    <row r="332" spans="1:2" x14ac:dyDescent="0.2">
      <c r="A332" s="1158" t="s">
        <v>108</v>
      </c>
      <c r="B332" s="143">
        <v>3532</v>
      </c>
    </row>
    <row r="333" spans="1:2" x14ac:dyDescent="0.2">
      <c r="A333" s="107" t="s">
        <v>7</v>
      </c>
      <c r="B333" s="79">
        <v>1010</v>
      </c>
    </row>
    <row r="334" spans="1:2" x14ac:dyDescent="0.2">
      <c r="A334" s="107" t="s">
        <v>421</v>
      </c>
      <c r="B334" s="79" t="s">
        <v>423</v>
      </c>
    </row>
    <row r="335" spans="1:2" x14ac:dyDescent="0.2">
      <c r="A335" s="1158" t="s">
        <v>114</v>
      </c>
      <c r="B335" s="94">
        <v>4177</v>
      </c>
    </row>
    <row r="336" spans="1:2" x14ac:dyDescent="0.2">
      <c r="A336" s="79" t="s">
        <v>424</v>
      </c>
      <c r="B336" s="79" t="s">
        <v>426</v>
      </c>
    </row>
    <row r="337" spans="1:2" x14ac:dyDescent="0.2">
      <c r="A337" s="79" t="s">
        <v>427</v>
      </c>
      <c r="B337" s="79">
        <v>206103</v>
      </c>
    </row>
    <row r="338" spans="1:2" x14ac:dyDescent="0.2">
      <c r="A338" s="79" t="s">
        <v>428</v>
      </c>
      <c r="B338" s="79" t="s">
        <v>430</v>
      </c>
    </row>
    <row r="339" spans="1:2" x14ac:dyDescent="0.2">
      <c r="A339" s="79" t="s">
        <v>431</v>
      </c>
      <c r="B339" s="79" t="s">
        <v>433</v>
      </c>
    </row>
    <row r="340" spans="1:2" x14ac:dyDescent="0.2">
      <c r="A340" s="79" t="s">
        <v>434</v>
      </c>
      <c r="B340" s="79">
        <v>258420</v>
      </c>
    </row>
    <row r="341" spans="1:2" x14ac:dyDescent="0.2">
      <c r="A341" s="79" t="s">
        <v>436</v>
      </c>
      <c r="B341" s="79">
        <v>258424</v>
      </c>
    </row>
    <row r="342" spans="1:2" x14ac:dyDescent="0.2">
      <c r="A342" s="79" t="s">
        <v>438</v>
      </c>
      <c r="B342" s="79" t="s">
        <v>439</v>
      </c>
    </row>
    <row r="343" spans="1:2" x14ac:dyDescent="0.2">
      <c r="A343" s="142" t="s">
        <v>65</v>
      </c>
      <c r="B343" s="79">
        <v>3546</v>
      </c>
    </row>
    <row r="344" spans="1:2" x14ac:dyDescent="0.2">
      <c r="A344" s="140" t="s">
        <v>8</v>
      </c>
      <c r="B344" s="79">
        <v>1009</v>
      </c>
    </row>
    <row r="345" spans="1:2" x14ac:dyDescent="0.2">
      <c r="A345" s="142" t="s">
        <v>66</v>
      </c>
      <c r="B345" s="79">
        <v>3530</v>
      </c>
    </row>
    <row r="346" spans="1:2" x14ac:dyDescent="0.2">
      <c r="A346" s="1158" t="s">
        <v>74</v>
      </c>
      <c r="B346" s="94">
        <v>5412</v>
      </c>
    </row>
    <row r="347" spans="1:2" ht="15" x14ac:dyDescent="0.2">
      <c r="A347" s="146" t="s">
        <v>445</v>
      </c>
      <c r="B347" s="146" t="s">
        <v>446</v>
      </c>
    </row>
    <row r="348" spans="1:2" x14ac:dyDescent="0.2">
      <c r="A348" s="140" t="s">
        <v>440</v>
      </c>
      <c r="B348" s="144" t="s">
        <v>442</v>
      </c>
    </row>
    <row r="349" spans="1:2" x14ac:dyDescent="0.2">
      <c r="A349" s="79" t="s">
        <v>9</v>
      </c>
      <c r="B349" s="140">
        <v>1015</v>
      </c>
    </row>
    <row r="350" spans="1:2" x14ac:dyDescent="0.2">
      <c r="A350" s="141" t="s">
        <v>443</v>
      </c>
      <c r="B350" s="145" t="s">
        <v>444</v>
      </c>
    </row>
    <row r="351" spans="1:2" x14ac:dyDescent="0.2">
      <c r="A351" s="142" t="s">
        <v>447</v>
      </c>
      <c r="B351" s="79">
        <v>509204</v>
      </c>
    </row>
    <row r="352" spans="1:2" x14ac:dyDescent="0.2">
      <c r="A352" s="1206" t="s">
        <v>67</v>
      </c>
      <c r="B352" s="143">
        <v>2459</v>
      </c>
    </row>
    <row r="353" spans="1:2" x14ac:dyDescent="0.2">
      <c r="A353" s="79" t="s">
        <v>96</v>
      </c>
      <c r="B353" s="79">
        <v>2007</v>
      </c>
    </row>
  </sheetData>
  <sheetProtection password="EF5C"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351"/>
  <sheetViews>
    <sheetView workbookViewId="0">
      <pane xSplit="2" ySplit="6" topLeftCell="O7" activePane="bottomRight" state="frozen"/>
      <selection activeCell="C118" sqref="C118"/>
      <selection pane="topRight" activeCell="C118" sqref="C118"/>
      <selection pane="bottomLeft" activeCell="C118" sqref="C118"/>
      <selection pane="bottomRight" sqref="A1:Z1048576"/>
    </sheetView>
  </sheetViews>
  <sheetFormatPr defaultRowHeight="12.75" x14ac:dyDescent="0.2"/>
  <cols>
    <col min="1" max="1" width="56.140625" hidden="1" customWidth="1"/>
    <col min="2" max="2" width="17.140625" hidden="1" customWidth="1"/>
    <col min="3" max="3" width="13.85546875" style="21" hidden="1" customWidth="1"/>
    <col min="4" max="4" width="13.42578125" style="21" hidden="1" customWidth="1"/>
    <col min="5" max="5" width="12.42578125" style="30" hidden="1" customWidth="1"/>
    <col min="6" max="6" width="11.42578125" hidden="1" customWidth="1"/>
    <col min="7" max="7" width="15.7109375" hidden="1" customWidth="1"/>
    <col min="8" max="26" width="0" hidden="1" customWidth="1"/>
  </cols>
  <sheetData>
    <row r="1" spans="1:12" ht="12.75" customHeight="1" x14ac:dyDescent="0.2">
      <c r="A1" s="1" t="s">
        <v>1038</v>
      </c>
      <c r="B1" s="1013"/>
      <c r="C1" s="1011"/>
      <c r="D1" s="1011"/>
      <c r="E1" s="1038">
        <f>932.68-76.9462</f>
        <v>855.73379999999997</v>
      </c>
      <c r="G1" s="1012"/>
    </row>
    <row r="2" spans="1:12" x14ac:dyDescent="0.2">
      <c r="A2" s="1" t="s">
        <v>77</v>
      </c>
      <c r="B2" s="1013"/>
      <c r="C2" s="1011"/>
      <c r="D2" s="1011"/>
      <c r="E2" s="1038">
        <f>2738.7-225.9443</f>
        <v>2512.7556999999997</v>
      </c>
      <c r="F2" s="1012"/>
      <c r="G2" s="1012"/>
    </row>
    <row r="3" spans="1:12" x14ac:dyDescent="0.2">
      <c r="A3" s="1" t="s">
        <v>78</v>
      </c>
      <c r="B3" s="1013"/>
      <c r="C3" s="1011"/>
      <c r="D3" s="1011"/>
      <c r="E3" s="1010"/>
      <c r="F3" s="1012"/>
      <c r="G3" s="1012"/>
    </row>
    <row r="4" spans="1:12" x14ac:dyDescent="0.2">
      <c r="A4" s="1" t="s">
        <v>79</v>
      </c>
      <c r="B4" s="1013"/>
      <c r="C4" s="1011"/>
      <c r="D4" s="1011"/>
      <c r="E4" s="1010"/>
      <c r="F4" s="1012"/>
      <c r="G4" s="1012"/>
    </row>
    <row r="5" spans="1:12" x14ac:dyDescent="0.2">
      <c r="A5" s="1" t="s">
        <v>80</v>
      </c>
      <c r="B5" s="1011" t="s">
        <v>898</v>
      </c>
      <c r="C5" s="1011"/>
      <c r="D5" s="1011"/>
      <c r="E5" s="1010"/>
      <c r="F5" s="1012"/>
      <c r="G5" s="1012"/>
    </row>
    <row r="6" spans="1:12" ht="76.5" x14ac:dyDescent="0.2">
      <c r="A6" s="13" t="s">
        <v>118</v>
      </c>
      <c r="B6" s="6" t="s">
        <v>81</v>
      </c>
      <c r="C6" s="1039" t="s">
        <v>1065</v>
      </c>
      <c r="D6" s="1039" t="s">
        <v>1066</v>
      </c>
      <c r="E6" s="8" t="s">
        <v>1067</v>
      </c>
      <c r="F6" s="1034" t="s">
        <v>1068</v>
      </c>
      <c r="G6" s="1034" t="s">
        <v>1069</v>
      </c>
    </row>
    <row r="7" spans="1:12" x14ac:dyDescent="0.2">
      <c r="A7" s="9" t="s">
        <v>10</v>
      </c>
      <c r="B7" s="10">
        <v>2012</v>
      </c>
      <c r="C7" s="1011">
        <f>SUMIF('2015 Factor % to units'!B:B,B7,'2015 Factor % to units'!AO:AO)</f>
        <v>68.528052805280367</v>
      </c>
      <c r="D7" s="1011">
        <f>SUMIF('2015 Factor % to units'!B:B,B7,'2015 Factor % to units'!AP:AP)</f>
        <v>0</v>
      </c>
      <c r="E7" s="23">
        <f>E$1*C7</f>
        <v>58641.77103366323</v>
      </c>
      <c r="F7" s="1009">
        <f t="shared" ref="F7:F70" si="0">E$2*D7</f>
        <v>0</v>
      </c>
      <c r="G7" s="1035">
        <f>F7+E7</f>
        <v>58641.77103366323</v>
      </c>
      <c r="I7" t="str">
        <f>CONCATENATE(831,B7)</f>
        <v>8312012</v>
      </c>
      <c r="J7">
        <v>0</v>
      </c>
      <c r="K7" s="1009"/>
      <c r="L7" s="1009"/>
    </row>
    <row r="8" spans="1:12" x14ac:dyDescent="0.2">
      <c r="A8" s="9" t="s">
        <v>11</v>
      </c>
      <c r="B8" s="10">
        <v>2443</v>
      </c>
      <c r="C8" s="1011">
        <f>SUMIF('2015 Factor % to units'!B:B,B8,'2015 Factor % to units'!AO:AO)</f>
        <v>15.454545454545453</v>
      </c>
      <c r="D8" s="1011">
        <f>SUMIF('2015 Factor % to units'!B:B,B8,'2015 Factor % to units'!AP:AP)</f>
        <v>0</v>
      </c>
      <c r="E8" s="23">
        <f t="shared" ref="E8:E71" si="1">E$1*C8</f>
        <v>13224.976909090907</v>
      </c>
      <c r="F8" s="1009">
        <f t="shared" si="0"/>
        <v>0</v>
      </c>
      <c r="G8" s="1035">
        <f t="shared" ref="G8:G71" si="2">F8+E8</f>
        <v>13224.976909090907</v>
      </c>
      <c r="I8" t="str">
        <f t="shared" ref="I8:I71" si="3">CONCATENATE(831,B8)</f>
        <v>8312443</v>
      </c>
      <c r="J8">
        <v>0</v>
      </c>
      <c r="K8" s="1009"/>
      <c r="L8" s="1009"/>
    </row>
    <row r="9" spans="1:12" x14ac:dyDescent="0.2">
      <c r="A9" s="9" t="s">
        <v>94</v>
      </c>
      <c r="B9" s="10">
        <v>2442</v>
      </c>
      <c r="C9" s="1011">
        <f>SUMIF('2015 Factor % to units'!B:B,B9,'2015 Factor % to units'!AO:AO)</f>
        <v>3.0493421052631584</v>
      </c>
      <c r="D9" s="1011">
        <f>SUMIF('2015 Factor % to units'!B:B,B9,'2015 Factor % to units'!AP:AP)</f>
        <v>0</v>
      </c>
      <c r="E9" s="23">
        <f t="shared" si="1"/>
        <v>2609.4251072368425</v>
      </c>
      <c r="F9" s="1009">
        <f t="shared" si="0"/>
        <v>0</v>
      </c>
      <c r="G9" s="1035">
        <f t="shared" si="2"/>
        <v>2609.4251072368425</v>
      </c>
      <c r="I9" t="str">
        <f t="shared" si="3"/>
        <v>8312442</v>
      </c>
      <c r="J9">
        <v>0</v>
      </c>
      <c r="K9" s="1009"/>
      <c r="L9" s="1009"/>
    </row>
    <row r="10" spans="1:12" x14ac:dyDescent="0.2">
      <c r="A10" s="9" t="s">
        <v>13</v>
      </c>
      <c r="B10" s="10">
        <v>2629</v>
      </c>
      <c r="C10" s="1011">
        <f>SUMIF('2015 Factor % to units'!B:B,B10,'2015 Factor % to units'!AO:AO)</f>
        <v>241.6933701657457</v>
      </c>
      <c r="D10" s="1011">
        <f>SUMIF('2015 Factor % to units'!B:B,B10,'2015 Factor % to units'!AP:AP)</f>
        <v>0</v>
      </c>
      <c r="E10" s="23">
        <f t="shared" si="1"/>
        <v>206825.1860867402</v>
      </c>
      <c r="F10" s="1009">
        <f t="shared" si="0"/>
        <v>0</v>
      </c>
      <c r="G10" s="1035">
        <f t="shared" si="2"/>
        <v>206825.1860867402</v>
      </c>
      <c r="I10" t="str">
        <f t="shared" si="3"/>
        <v>8312629</v>
      </c>
      <c r="J10">
        <v>0</v>
      </c>
      <c r="K10" s="1009"/>
      <c r="L10" s="1009"/>
    </row>
    <row r="11" spans="1:12" x14ac:dyDescent="0.2">
      <c r="A11" s="9" t="s">
        <v>14</v>
      </c>
      <c r="B11" s="10">
        <v>2509</v>
      </c>
      <c r="C11" s="1011">
        <f>SUMIF('2015 Factor % to units'!B:B,B11,'2015 Factor % to units'!AO:AO)</f>
        <v>27.668918918918941</v>
      </c>
      <c r="D11" s="1011">
        <f>SUMIF('2015 Factor % to units'!B:B,B11,'2015 Factor % to units'!AP:AP)</f>
        <v>0</v>
      </c>
      <c r="E11" s="23">
        <f t="shared" si="1"/>
        <v>23677.229128378396</v>
      </c>
      <c r="F11" s="1009">
        <f t="shared" si="0"/>
        <v>0</v>
      </c>
      <c r="G11" s="1035">
        <f t="shared" si="2"/>
        <v>23677.229128378396</v>
      </c>
      <c r="I11" t="str">
        <f t="shared" si="3"/>
        <v>8312509</v>
      </c>
      <c r="J11">
        <v>0</v>
      </c>
      <c r="K11" s="1009"/>
      <c r="L11" s="1009"/>
    </row>
    <row r="12" spans="1:12" x14ac:dyDescent="0.2">
      <c r="A12" s="9" t="s">
        <v>15</v>
      </c>
      <c r="B12" s="10">
        <v>2005</v>
      </c>
      <c r="C12" s="1011">
        <f>SUMIF('2015 Factor % to units'!B:B,B12,'2015 Factor % to units'!AO:AO)</f>
        <v>36.017985611510639</v>
      </c>
      <c r="D12" s="1011">
        <f>SUMIF('2015 Factor % to units'!B:B,B12,'2015 Factor % to units'!AP:AP)</f>
        <v>0</v>
      </c>
      <c r="E12" s="23">
        <f t="shared" si="1"/>
        <v>30821.807695683321</v>
      </c>
      <c r="F12" s="1009">
        <f t="shared" si="0"/>
        <v>0</v>
      </c>
      <c r="G12" s="1035">
        <f t="shared" si="2"/>
        <v>30821.807695683321</v>
      </c>
      <c r="I12" t="str">
        <f t="shared" si="3"/>
        <v>8312005</v>
      </c>
      <c r="J12">
        <v>0</v>
      </c>
      <c r="K12" s="1009"/>
      <c r="L12" s="1009"/>
    </row>
    <row r="13" spans="1:12" x14ac:dyDescent="0.2">
      <c r="A13" s="9" t="s">
        <v>16</v>
      </c>
      <c r="B13" s="10">
        <v>2464</v>
      </c>
      <c r="C13" s="1011">
        <f>SUMIF('2015 Factor % to units'!B:B,B13,'2015 Factor % to units'!AO:AO)</f>
        <v>1.177914110429447</v>
      </c>
      <c r="D13" s="1011">
        <f>SUMIF('2015 Factor % to units'!B:B,B13,'2015 Factor % to units'!AP:AP)</f>
        <v>0</v>
      </c>
      <c r="E13" s="23">
        <f t="shared" si="1"/>
        <v>1007.9809177914103</v>
      </c>
      <c r="F13" s="1009">
        <f t="shared" si="0"/>
        <v>0</v>
      </c>
      <c r="G13" s="1035">
        <f t="shared" si="2"/>
        <v>1007.9809177914103</v>
      </c>
      <c r="I13" t="str">
        <f t="shared" si="3"/>
        <v>8312464</v>
      </c>
      <c r="J13">
        <v>0</v>
      </c>
      <c r="K13" s="1009"/>
      <c r="L13" s="1009"/>
    </row>
    <row r="14" spans="1:12" x14ac:dyDescent="0.2">
      <c r="A14" s="9" t="s">
        <v>17</v>
      </c>
      <c r="B14" s="10">
        <v>2004</v>
      </c>
      <c r="C14" s="1011">
        <f>SUMIF('2015 Factor % to units'!B:B,B14,'2015 Factor % to units'!AO:AO)</f>
        <v>15.999999999999998</v>
      </c>
      <c r="D14" s="1011">
        <f>SUMIF('2015 Factor % to units'!B:B,B14,'2015 Factor % to units'!AP:AP)</f>
        <v>0</v>
      </c>
      <c r="E14" s="23">
        <f t="shared" si="1"/>
        <v>13691.740799999998</v>
      </c>
      <c r="F14" s="1009">
        <f t="shared" si="0"/>
        <v>0</v>
      </c>
      <c r="G14" s="1035">
        <f t="shared" si="2"/>
        <v>13691.740799999998</v>
      </c>
      <c r="I14" t="str">
        <f t="shared" si="3"/>
        <v>8312004</v>
      </c>
      <c r="J14">
        <v>0</v>
      </c>
      <c r="K14" s="1009"/>
      <c r="L14" s="1009"/>
    </row>
    <row r="15" spans="1:12" x14ac:dyDescent="0.2">
      <c r="A15" s="9" t="s">
        <v>18</v>
      </c>
      <c r="B15" s="10">
        <v>2405</v>
      </c>
      <c r="C15" s="1011">
        <f>SUMIF('2015 Factor % to units'!B:B,B15,'2015 Factor % to units'!AO:AO)</f>
        <v>39.745762711864344</v>
      </c>
      <c r="D15" s="1011">
        <f>SUMIF('2015 Factor % to units'!B:B,B15,'2015 Factor % to units'!AP:AP)</f>
        <v>0</v>
      </c>
      <c r="E15" s="23">
        <f t="shared" si="1"/>
        <v>34011.792559321977</v>
      </c>
      <c r="F15" s="1009">
        <f t="shared" si="0"/>
        <v>0</v>
      </c>
      <c r="G15" s="1035">
        <f t="shared" si="2"/>
        <v>34011.792559321977</v>
      </c>
      <c r="I15" t="str">
        <f t="shared" si="3"/>
        <v>8312405</v>
      </c>
      <c r="J15">
        <v>0</v>
      </c>
      <c r="K15" s="1009"/>
      <c r="L15" s="1009"/>
    </row>
    <row r="16" spans="1:12" x14ac:dyDescent="0.2">
      <c r="A16" s="9" t="s">
        <v>95</v>
      </c>
      <c r="B16" s="10">
        <v>2011</v>
      </c>
      <c r="C16" s="1011">
        <f>SUMIF('2015 Factor % to units'!B:B,B16,'2015 Factor % to units'!AO:AO)</f>
        <v>11.758241758241748</v>
      </c>
      <c r="D16" s="1011">
        <f>SUMIF('2015 Factor % to units'!B:B,B16,'2015 Factor % to units'!AP:AP)</f>
        <v>0</v>
      </c>
      <c r="E16" s="23">
        <f t="shared" si="1"/>
        <v>10061.924901098893</v>
      </c>
      <c r="F16" s="1009">
        <f t="shared" si="0"/>
        <v>0</v>
      </c>
      <c r="G16" s="1035">
        <f t="shared" si="2"/>
        <v>10061.924901098893</v>
      </c>
      <c r="I16" t="str">
        <f t="shared" si="3"/>
        <v>8312011</v>
      </c>
      <c r="J16">
        <v>0</v>
      </c>
      <c r="K16" s="1009"/>
      <c r="L16" s="1009"/>
    </row>
    <row r="17" spans="1:12" x14ac:dyDescent="0.2">
      <c r="A17" s="9" t="s">
        <v>20</v>
      </c>
      <c r="B17" s="10">
        <v>5201</v>
      </c>
      <c r="C17" s="1011">
        <f>SUMIF('2015 Factor % to units'!B:B,B17,'2015 Factor % to units'!AO:AO)</f>
        <v>3.4916666666666654</v>
      </c>
      <c r="D17" s="1011">
        <f>SUMIF('2015 Factor % to units'!B:B,B17,'2015 Factor % to units'!AP:AP)</f>
        <v>0</v>
      </c>
      <c r="E17" s="23">
        <f t="shared" si="1"/>
        <v>2987.9371849999989</v>
      </c>
      <c r="F17" s="1009">
        <f t="shared" si="0"/>
        <v>0</v>
      </c>
      <c r="G17" s="1035">
        <f t="shared" si="2"/>
        <v>2987.9371849999989</v>
      </c>
      <c r="I17" t="str">
        <f t="shared" si="3"/>
        <v>8315201</v>
      </c>
      <c r="J17">
        <v>0</v>
      </c>
      <c r="K17" s="1009"/>
      <c r="L17" s="1009"/>
    </row>
    <row r="18" spans="1:12" x14ac:dyDescent="0.2">
      <c r="A18" s="9" t="s">
        <v>96</v>
      </c>
      <c r="B18" s="10">
        <v>2007</v>
      </c>
      <c r="C18" s="1011">
        <f>SUMIF('2015 Factor % to units'!B:B,B18,'2015 Factor % to units'!AO:AO)</f>
        <v>44.283464566929233</v>
      </c>
      <c r="D18" s="1011">
        <f>SUMIF('2015 Factor % to units'!B:B,B18,'2015 Factor % to units'!AP:AP)</f>
        <v>0</v>
      </c>
      <c r="E18" s="23">
        <f t="shared" si="1"/>
        <v>37894.857411023702</v>
      </c>
      <c r="F18" s="1009">
        <f t="shared" si="0"/>
        <v>0</v>
      </c>
      <c r="G18" s="1035">
        <f t="shared" si="2"/>
        <v>37894.857411023702</v>
      </c>
      <c r="I18" t="str">
        <f t="shared" si="3"/>
        <v>8312007</v>
      </c>
      <c r="J18">
        <v>0</v>
      </c>
      <c r="K18" s="1009"/>
      <c r="L18" s="1009"/>
    </row>
    <row r="19" spans="1:12" x14ac:dyDescent="0.2">
      <c r="A19" s="9" t="s">
        <v>21</v>
      </c>
      <c r="B19" s="10">
        <v>2433</v>
      </c>
      <c r="C19" s="1011">
        <f>SUMIF('2015 Factor % to units'!B:B,B19,'2015 Factor % to units'!AO:AO)</f>
        <v>14.78125</v>
      </c>
      <c r="D19" s="1011">
        <f>SUMIF('2015 Factor % to units'!B:B,B19,'2015 Factor % to units'!AP:AP)</f>
        <v>0</v>
      </c>
      <c r="E19" s="23">
        <f t="shared" si="1"/>
        <v>12648.815231249999</v>
      </c>
      <c r="F19" s="1009">
        <f t="shared" si="0"/>
        <v>0</v>
      </c>
      <c r="G19" s="1035">
        <f t="shared" si="2"/>
        <v>12648.815231249999</v>
      </c>
      <c r="I19" t="str">
        <f t="shared" si="3"/>
        <v>8312433</v>
      </c>
      <c r="J19">
        <v>0</v>
      </c>
      <c r="K19" s="1009"/>
      <c r="L19" s="1009"/>
    </row>
    <row r="20" spans="1:12" x14ac:dyDescent="0.2">
      <c r="A20" s="9" t="s">
        <v>22</v>
      </c>
      <c r="B20" s="10">
        <v>2432</v>
      </c>
      <c r="C20" s="1011">
        <f>SUMIF('2015 Factor % to units'!B:B,B20,'2015 Factor % to units'!AO:AO)</f>
        <v>5.0617283950617367</v>
      </c>
      <c r="D20" s="1011">
        <f>SUMIF('2015 Factor % to units'!B:B,B20,'2015 Factor % to units'!AP:AP)</f>
        <v>0</v>
      </c>
      <c r="E20" s="23">
        <f t="shared" si="1"/>
        <v>4331.4920740740808</v>
      </c>
      <c r="F20" s="1009">
        <f t="shared" si="0"/>
        <v>0</v>
      </c>
      <c r="G20" s="1035">
        <f t="shared" si="2"/>
        <v>4331.4920740740808</v>
      </c>
      <c r="I20" t="str">
        <f t="shared" si="3"/>
        <v>8312432</v>
      </c>
      <c r="J20">
        <v>0</v>
      </c>
      <c r="K20" s="1009"/>
      <c r="L20" s="1009"/>
    </row>
    <row r="21" spans="1:12" x14ac:dyDescent="0.2">
      <c r="A21" s="9" t="s">
        <v>1028</v>
      </c>
      <c r="B21" s="10">
        <v>2447</v>
      </c>
      <c r="C21" s="1011">
        <f>SUMIF('2015 Factor % to units'!B:B,B21,'2015 Factor % to units'!AO:AO)</f>
        <v>15.652298850574729</v>
      </c>
      <c r="D21" s="1011">
        <f>SUMIF('2015 Factor % to units'!B:B,B21,'2015 Factor % to units'!AP:AP)</f>
        <v>0</v>
      </c>
      <c r="E21" s="23">
        <f t="shared" si="1"/>
        <v>13394.201174137945</v>
      </c>
      <c r="F21" s="1009">
        <f t="shared" si="0"/>
        <v>0</v>
      </c>
      <c r="G21" s="1035">
        <f t="shared" si="2"/>
        <v>13394.201174137945</v>
      </c>
      <c r="I21" t="str">
        <f t="shared" si="3"/>
        <v>8312447</v>
      </c>
      <c r="J21">
        <v>0</v>
      </c>
      <c r="K21" s="17"/>
      <c r="L21" s="17"/>
    </row>
    <row r="22" spans="1:12" x14ac:dyDescent="0.2">
      <c r="A22" s="9" t="s">
        <v>23</v>
      </c>
      <c r="B22" s="10">
        <v>2512</v>
      </c>
      <c r="C22" s="1011">
        <f>SUMIF('2015 Factor % to units'!B:B,B22,'2015 Factor % to units'!AO:AO)</f>
        <v>24.579545454545492</v>
      </c>
      <c r="D22" s="1011">
        <f>SUMIF('2015 Factor % to units'!B:B,B22,'2015 Factor % to units'!AP:AP)</f>
        <v>0</v>
      </c>
      <c r="E22" s="23">
        <f t="shared" si="1"/>
        <v>21033.547834090939</v>
      </c>
      <c r="F22" s="1009">
        <f t="shared" si="0"/>
        <v>0</v>
      </c>
      <c r="G22" s="1035">
        <f t="shared" si="2"/>
        <v>21033.547834090939</v>
      </c>
      <c r="I22" t="str">
        <f t="shared" si="3"/>
        <v>8312512</v>
      </c>
      <c r="J22">
        <v>0</v>
      </c>
      <c r="K22" s="1009"/>
      <c r="L22" s="1009"/>
    </row>
    <row r="23" spans="1:12" x14ac:dyDescent="0.2">
      <c r="A23" s="9" t="s">
        <v>24</v>
      </c>
      <c r="B23" s="10">
        <v>2456</v>
      </c>
      <c r="C23" s="1011">
        <f>SUMIF('2015 Factor % to units'!B:B,B23,'2015 Factor % to units'!AO:AO)</f>
        <v>37.291666666666607</v>
      </c>
      <c r="D23" s="1011">
        <f>SUMIF('2015 Factor % to units'!B:B,B23,'2015 Factor % to units'!AP:AP)</f>
        <v>0</v>
      </c>
      <c r="E23" s="23">
        <f t="shared" si="1"/>
        <v>31911.739624999947</v>
      </c>
      <c r="F23" s="1009">
        <f t="shared" si="0"/>
        <v>0</v>
      </c>
      <c r="G23" s="1035">
        <f t="shared" si="2"/>
        <v>31911.739624999947</v>
      </c>
      <c r="I23" t="str">
        <f t="shared" si="3"/>
        <v>8312456</v>
      </c>
      <c r="J23">
        <v>0</v>
      </c>
      <c r="K23" s="1009"/>
      <c r="L23" s="1009"/>
    </row>
    <row r="24" spans="1:12" x14ac:dyDescent="0.2">
      <c r="A24" s="9" t="s">
        <v>25</v>
      </c>
      <c r="B24" s="10">
        <v>2449</v>
      </c>
      <c r="C24" s="1011">
        <f>SUMIF('2015 Factor % to units'!B:B,B24,'2015 Factor % to units'!AO:AO)</f>
        <v>8.9999999999999911</v>
      </c>
      <c r="D24" s="1011">
        <f>SUMIF('2015 Factor % to units'!B:B,B24,'2015 Factor % to units'!AP:AP)</f>
        <v>0</v>
      </c>
      <c r="E24" s="23">
        <f t="shared" si="1"/>
        <v>7701.6041999999925</v>
      </c>
      <c r="F24" s="1009">
        <f t="shared" si="0"/>
        <v>0</v>
      </c>
      <c r="G24" s="1035">
        <f t="shared" si="2"/>
        <v>7701.6041999999925</v>
      </c>
      <c r="I24" t="str">
        <f t="shared" si="3"/>
        <v>8312449</v>
      </c>
      <c r="J24">
        <v>0</v>
      </c>
      <c r="K24" s="1009"/>
      <c r="L24" s="1009"/>
    </row>
    <row r="25" spans="1:12" x14ac:dyDescent="0.2">
      <c r="A25" s="9" t="s">
        <v>26</v>
      </c>
      <c r="B25" s="10">
        <v>2448</v>
      </c>
      <c r="C25" s="1011">
        <f>SUMIF('2015 Factor % to units'!B:B,B25,'2015 Factor % to units'!AO:AO)</f>
        <v>3.0271903323262843</v>
      </c>
      <c r="D25" s="1011">
        <f>SUMIF('2015 Factor % to units'!B:B,B25,'2015 Factor % to units'!AP:AP)</f>
        <v>0</v>
      </c>
      <c r="E25" s="23">
        <f t="shared" si="1"/>
        <v>2590.4690864048339</v>
      </c>
      <c r="F25" s="1009">
        <f t="shared" si="0"/>
        <v>0</v>
      </c>
      <c r="G25" s="1035">
        <f t="shared" si="2"/>
        <v>2590.4690864048339</v>
      </c>
      <c r="I25" t="str">
        <f t="shared" si="3"/>
        <v>8312448</v>
      </c>
      <c r="J25">
        <v>0</v>
      </c>
      <c r="K25" s="1009"/>
      <c r="L25" s="1009"/>
    </row>
    <row r="26" spans="1:12" x14ac:dyDescent="0.2">
      <c r="A26" s="9" t="s">
        <v>126</v>
      </c>
      <c r="B26" s="10">
        <v>2467</v>
      </c>
      <c r="C26" s="1011">
        <f>SUMIF('2015 Factor % to units'!B:B,B26,'2015 Factor % to units'!AO:AO)</f>
        <v>6.7766990291261999</v>
      </c>
      <c r="D26" s="1011">
        <f>SUMIF('2015 Factor % to units'!B:B,B26,'2015 Factor % to units'!AP:AP)</f>
        <v>0</v>
      </c>
      <c r="E26" s="23">
        <f t="shared" si="1"/>
        <v>5799.0504116504735</v>
      </c>
      <c r="F26" s="1009">
        <f t="shared" si="0"/>
        <v>0</v>
      </c>
      <c r="G26" s="1035">
        <f t="shared" si="2"/>
        <v>5799.0504116504735</v>
      </c>
      <c r="I26" t="str">
        <f t="shared" si="3"/>
        <v>8312467</v>
      </c>
      <c r="J26">
        <v>0</v>
      </c>
      <c r="K26" s="1009"/>
      <c r="L26" s="1009"/>
    </row>
    <row r="27" spans="1:12" x14ac:dyDescent="0.2">
      <c r="A27" s="9" t="s">
        <v>28</v>
      </c>
      <c r="B27" s="10">
        <v>2455</v>
      </c>
      <c r="C27" s="1011">
        <f>SUMIF('2015 Factor % to units'!B:B,B27,'2015 Factor % to units'!AO:AO)</f>
        <v>16.499999999999996</v>
      </c>
      <c r="D27" s="1011">
        <f>SUMIF('2015 Factor % to units'!B:B,B27,'2015 Factor % to units'!AP:AP)</f>
        <v>0</v>
      </c>
      <c r="E27" s="23">
        <f t="shared" si="1"/>
        <v>14119.607699999997</v>
      </c>
      <c r="F27" s="1009">
        <f t="shared" si="0"/>
        <v>0</v>
      </c>
      <c r="G27" s="1035">
        <f t="shared" si="2"/>
        <v>14119.607699999997</v>
      </c>
      <c r="I27" t="str">
        <f t="shared" si="3"/>
        <v>8312455</v>
      </c>
      <c r="J27">
        <v>0</v>
      </c>
      <c r="K27" s="1009"/>
      <c r="L27" s="1009"/>
    </row>
    <row r="28" spans="1:12" x14ac:dyDescent="0.2">
      <c r="A28" s="9" t="s">
        <v>29</v>
      </c>
      <c r="B28" s="10">
        <v>5203</v>
      </c>
      <c r="C28" s="1011">
        <f>SUMIF('2015 Factor % to units'!B:B,B28,'2015 Factor % to units'!AO:AO)</f>
        <v>11.045548654244303</v>
      </c>
      <c r="D28" s="1011">
        <f>SUMIF('2015 Factor % to units'!B:B,B28,'2015 Factor % to units'!AP:AP)</f>
        <v>0</v>
      </c>
      <c r="E28" s="23">
        <f t="shared" si="1"/>
        <v>9452.0493229813637</v>
      </c>
      <c r="F28" s="1009">
        <f t="shared" si="0"/>
        <v>0</v>
      </c>
      <c r="G28" s="1035">
        <f t="shared" si="2"/>
        <v>9452.0493229813637</v>
      </c>
      <c r="I28" t="str">
        <f t="shared" si="3"/>
        <v>8315203</v>
      </c>
      <c r="J28">
        <v>0</v>
      </c>
      <c r="K28" s="1009"/>
      <c r="L28" s="1009"/>
    </row>
    <row r="29" spans="1:12" x14ac:dyDescent="0.2">
      <c r="A29" s="9" t="s">
        <v>30</v>
      </c>
      <c r="B29" s="10">
        <v>2451</v>
      </c>
      <c r="C29" s="1011">
        <f>SUMIF('2015 Factor % to units'!B:B,B29,'2015 Factor % to units'!AO:AO)</f>
        <v>7.1515151515151745</v>
      </c>
      <c r="D29" s="1011">
        <f>SUMIF('2015 Factor % to units'!B:B,B29,'2015 Factor % to units'!AP:AP)</f>
        <v>0</v>
      </c>
      <c r="E29" s="23">
        <f t="shared" si="1"/>
        <v>6119.7932363636555</v>
      </c>
      <c r="F29" s="1009">
        <f t="shared" si="0"/>
        <v>0</v>
      </c>
      <c r="G29" s="1035">
        <f t="shared" si="2"/>
        <v>6119.7932363636555</v>
      </c>
      <c r="I29" t="str">
        <f t="shared" si="3"/>
        <v>8312451</v>
      </c>
      <c r="J29">
        <v>0</v>
      </c>
      <c r="K29" s="1009"/>
      <c r="L29" s="1009"/>
    </row>
    <row r="30" spans="1:12" x14ac:dyDescent="0.2">
      <c r="A30" s="9" t="s">
        <v>31</v>
      </c>
      <c r="B30" s="10">
        <v>2409</v>
      </c>
      <c r="C30" s="1011">
        <f>SUMIF('2015 Factor % to units'!B:B,B30,'2015 Factor % to units'!AO:AO)</f>
        <v>188.65822784810118</v>
      </c>
      <c r="D30" s="1011">
        <f>SUMIF('2015 Factor % to units'!B:B,B30,'2015 Factor % to units'!AP:AP)</f>
        <v>0</v>
      </c>
      <c r="E30" s="23">
        <f t="shared" si="1"/>
        <v>161441.22221772143</v>
      </c>
      <c r="F30" s="1009">
        <f t="shared" si="0"/>
        <v>0</v>
      </c>
      <c r="G30" s="1035">
        <f t="shared" si="2"/>
        <v>161441.22221772143</v>
      </c>
      <c r="I30" t="str">
        <f t="shared" si="3"/>
        <v>8312409</v>
      </c>
      <c r="J30">
        <v>0</v>
      </c>
      <c r="K30" s="1009"/>
      <c r="L30" s="1009"/>
    </row>
    <row r="31" spans="1:12" x14ac:dyDescent="0.2">
      <c r="A31" s="9" t="s">
        <v>98</v>
      </c>
      <c r="B31" s="10">
        <v>3158</v>
      </c>
      <c r="C31" s="1011">
        <f>SUMIF('2015 Factor % to units'!B:B,B31,'2015 Factor % to units'!AO:AO)</f>
        <v>109.5</v>
      </c>
      <c r="D31" s="1011">
        <f>SUMIF('2015 Factor % to units'!B:B,B31,'2015 Factor % to units'!AP:AP)</f>
        <v>0</v>
      </c>
      <c r="E31" s="23">
        <f t="shared" si="1"/>
        <v>93702.8511</v>
      </c>
      <c r="F31" s="1009">
        <f t="shared" si="0"/>
        <v>0</v>
      </c>
      <c r="G31" s="1035">
        <f t="shared" si="2"/>
        <v>93702.8511</v>
      </c>
      <c r="I31" t="str">
        <f t="shared" si="3"/>
        <v>8313158</v>
      </c>
      <c r="J31">
        <v>0</v>
      </c>
      <c r="K31" s="1009"/>
      <c r="L31" s="1009"/>
    </row>
    <row r="32" spans="1:12" x14ac:dyDescent="0.2">
      <c r="A32" s="9" t="s">
        <v>32</v>
      </c>
      <c r="B32" s="10">
        <v>2619</v>
      </c>
      <c r="C32" s="1011">
        <f>SUMIF('2015 Factor % to units'!B:B,B32,'2015 Factor % to units'!AO:AO)</f>
        <v>14.315789473684204</v>
      </c>
      <c r="D32" s="1011">
        <f>SUMIF('2015 Factor % to units'!B:B,B32,'2015 Factor % to units'!AP:AP)</f>
        <v>0</v>
      </c>
      <c r="E32" s="23">
        <f t="shared" si="1"/>
        <v>12250.504926315783</v>
      </c>
      <c r="F32" s="1009">
        <f t="shared" si="0"/>
        <v>0</v>
      </c>
      <c r="G32" s="1035">
        <f t="shared" si="2"/>
        <v>12250.504926315783</v>
      </c>
      <c r="I32" t="str">
        <f t="shared" si="3"/>
        <v>8312619</v>
      </c>
      <c r="J32">
        <v>0</v>
      </c>
      <c r="K32" s="1009"/>
      <c r="L32" s="1009"/>
    </row>
    <row r="33" spans="1:12" x14ac:dyDescent="0.2">
      <c r="A33" s="9" t="s">
        <v>33</v>
      </c>
      <c r="B33" s="10">
        <v>2518</v>
      </c>
      <c r="C33" s="1011">
        <f>SUMIF('2015 Factor % to units'!B:B,B33,'2015 Factor % to units'!AO:AO)</f>
        <v>164.7058823529413</v>
      </c>
      <c r="D33" s="1011">
        <f>SUMIF('2015 Factor % to units'!B:B,B33,'2015 Factor % to units'!AP:AP)</f>
        <v>0</v>
      </c>
      <c r="E33" s="23">
        <f t="shared" si="1"/>
        <v>140944.3905882354</v>
      </c>
      <c r="F33" s="1009">
        <f t="shared" si="0"/>
        <v>0</v>
      </c>
      <c r="G33" s="1035">
        <f t="shared" si="2"/>
        <v>140944.3905882354</v>
      </c>
      <c r="I33" t="str">
        <f t="shared" si="3"/>
        <v>8312518</v>
      </c>
      <c r="J33">
        <v>0</v>
      </c>
      <c r="K33" s="1009"/>
      <c r="L33" s="1009"/>
    </row>
    <row r="34" spans="1:12" x14ac:dyDescent="0.2">
      <c r="A34" s="9" t="s">
        <v>34</v>
      </c>
      <c r="B34" s="10">
        <v>2457</v>
      </c>
      <c r="C34" s="1011">
        <f>SUMIF('2015 Factor % to units'!B:B,B34,'2015 Factor % to units'!AO:AO)</f>
        <v>29.000000000000018</v>
      </c>
      <c r="D34" s="1011">
        <f>SUMIF('2015 Factor % to units'!B:B,B34,'2015 Factor % to units'!AP:AP)</f>
        <v>0</v>
      </c>
      <c r="E34" s="23">
        <f t="shared" si="1"/>
        <v>24816.280200000016</v>
      </c>
      <c r="F34" s="1009">
        <f t="shared" si="0"/>
        <v>0</v>
      </c>
      <c r="G34" s="1035">
        <f t="shared" si="2"/>
        <v>24816.280200000016</v>
      </c>
      <c r="I34" t="str">
        <f t="shared" si="3"/>
        <v>8312457</v>
      </c>
      <c r="J34">
        <v>0</v>
      </c>
      <c r="K34" s="1009"/>
      <c r="L34" s="1009"/>
    </row>
    <row r="35" spans="1:12" x14ac:dyDescent="0.2">
      <c r="A35" s="9" t="s">
        <v>99</v>
      </c>
      <c r="B35" s="27">
        <v>2010</v>
      </c>
      <c r="C35" s="1011">
        <f>SUMIF('2015 Factor % to units'!B:B,B35,'2015 Factor % to units'!AO:AO)</f>
        <v>34.395348837209362</v>
      </c>
      <c r="D35" s="1011">
        <f>SUMIF('2015 Factor % to units'!B:B,B35,'2015 Factor % to units'!AP:AP)</f>
        <v>0</v>
      </c>
      <c r="E35" s="23">
        <f t="shared" si="1"/>
        <v>29433.262562790747</v>
      </c>
      <c r="F35" s="1009">
        <f t="shared" si="0"/>
        <v>0</v>
      </c>
      <c r="G35" s="1035">
        <f t="shared" si="2"/>
        <v>29433.262562790747</v>
      </c>
      <c r="I35" t="str">
        <f t="shared" si="3"/>
        <v>8312010</v>
      </c>
      <c r="J35">
        <v>0</v>
      </c>
      <c r="K35" s="1009"/>
      <c r="L35" s="1009"/>
    </row>
    <row r="36" spans="1:12" x14ac:dyDescent="0.2">
      <c r="A36" s="9" t="s">
        <v>35</v>
      </c>
      <c r="B36" s="10">
        <v>2002</v>
      </c>
      <c r="C36" s="1011">
        <f>SUMIF('2015 Factor % to units'!B:B,B36,'2015 Factor % to units'!AO:AO)</f>
        <v>18.746594005449587</v>
      </c>
      <c r="D36" s="1011">
        <f>SUMIF('2015 Factor % to units'!B:B,B36,'2015 Factor % to units'!AP:AP)</f>
        <v>0</v>
      </c>
      <c r="E36" s="23">
        <f t="shared" si="1"/>
        <v>16042.094125340596</v>
      </c>
      <c r="F36" s="1009">
        <f t="shared" si="0"/>
        <v>0</v>
      </c>
      <c r="G36" s="1035">
        <f t="shared" si="2"/>
        <v>16042.094125340596</v>
      </c>
      <c r="I36" t="str">
        <f t="shared" si="3"/>
        <v>8312002</v>
      </c>
      <c r="J36">
        <v>0</v>
      </c>
      <c r="K36" s="1009"/>
      <c r="L36" s="1009"/>
    </row>
    <row r="37" spans="1:12" x14ac:dyDescent="0.2">
      <c r="A37" s="9" t="s">
        <v>36</v>
      </c>
      <c r="B37" s="10">
        <v>3544</v>
      </c>
      <c r="C37" s="1011">
        <f>SUMIF('2015 Factor % to units'!B:B,B37,'2015 Factor % to units'!AO:AO)</f>
        <v>274.69182389937095</v>
      </c>
      <c r="D37" s="1011">
        <f>SUMIF('2015 Factor % to units'!B:B,B37,'2015 Factor % to units'!AP:AP)</f>
        <v>0</v>
      </c>
      <c r="E37" s="23">
        <f t="shared" si="1"/>
        <v>235063.0782943395</v>
      </c>
      <c r="F37" s="1009">
        <f t="shared" si="0"/>
        <v>0</v>
      </c>
      <c r="G37" s="1035">
        <f t="shared" si="2"/>
        <v>235063.0782943395</v>
      </c>
      <c r="I37" t="str">
        <f t="shared" si="3"/>
        <v>8313544</v>
      </c>
      <c r="J37">
        <v>0</v>
      </c>
      <c r="K37" s="1009"/>
      <c r="L37" s="1009"/>
    </row>
    <row r="38" spans="1:12" x14ac:dyDescent="0.2">
      <c r="A38" s="9" t="s">
        <v>100</v>
      </c>
      <c r="B38" s="10">
        <v>2006</v>
      </c>
      <c r="C38" s="1011">
        <f>SUMIF('2015 Factor % to units'!B:B,B38,'2015 Factor % to units'!AO:AO)</f>
        <v>6.059907834101387</v>
      </c>
      <c r="D38" s="1011">
        <f>SUMIF('2015 Factor % to units'!B:B,B38,'2015 Factor % to units'!AP:AP)</f>
        <v>0</v>
      </c>
      <c r="E38" s="23">
        <f t="shared" si="1"/>
        <v>5185.6679585253496</v>
      </c>
      <c r="F38" s="1009">
        <f t="shared" si="0"/>
        <v>0</v>
      </c>
      <c r="G38" s="1035">
        <f t="shared" si="2"/>
        <v>5185.6679585253496</v>
      </c>
      <c r="I38" t="str">
        <f t="shared" si="3"/>
        <v>8312006</v>
      </c>
      <c r="J38">
        <v>0</v>
      </c>
      <c r="K38" s="1009"/>
      <c r="L38" s="1009"/>
    </row>
    <row r="39" spans="1:12" x14ac:dyDescent="0.2">
      <c r="A39" s="9" t="s">
        <v>37</v>
      </c>
      <c r="B39" s="10">
        <v>2434</v>
      </c>
      <c r="C39" s="1011">
        <f>SUMIF('2015 Factor % to units'!B:B,B39,'2015 Factor % to units'!AO:AO)</f>
        <v>14.443864229764996</v>
      </c>
      <c r="D39" s="1011">
        <f>SUMIF('2015 Factor % to units'!B:B,B39,'2015 Factor % to units'!AP:AP)</f>
        <v>0</v>
      </c>
      <c r="E39" s="23">
        <f t="shared" si="1"/>
        <v>12360.102824020873</v>
      </c>
      <c r="F39" s="1009">
        <f t="shared" si="0"/>
        <v>0</v>
      </c>
      <c r="G39" s="1035">
        <f t="shared" si="2"/>
        <v>12360.102824020873</v>
      </c>
      <c r="I39" t="str">
        <f t="shared" si="3"/>
        <v>8312434</v>
      </c>
      <c r="J39">
        <v>0</v>
      </c>
      <c r="K39" s="1009"/>
      <c r="L39" s="1009"/>
    </row>
    <row r="40" spans="1:12" x14ac:dyDescent="0.2">
      <c r="A40" s="9" t="s">
        <v>38</v>
      </c>
      <c r="B40" s="10">
        <v>2522</v>
      </c>
      <c r="C40" s="1011">
        <f>SUMIF('2015 Factor % to units'!B:B,B40,'2015 Factor % to units'!AO:AO)</f>
        <v>7.76</v>
      </c>
      <c r="D40" s="1011">
        <f>SUMIF('2015 Factor % to units'!B:B,B40,'2015 Factor % to units'!AP:AP)</f>
        <v>0</v>
      </c>
      <c r="E40" s="23">
        <f t="shared" si="1"/>
        <v>6640.4942879999999</v>
      </c>
      <c r="F40" s="1009">
        <f t="shared" si="0"/>
        <v>0</v>
      </c>
      <c r="G40" s="1035">
        <f t="shared" si="2"/>
        <v>6640.4942879999999</v>
      </c>
      <c r="I40" t="str">
        <f t="shared" si="3"/>
        <v>8312522</v>
      </c>
      <c r="J40">
        <v>0</v>
      </c>
      <c r="K40" s="1009"/>
      <c r="L40" s="1009"/>
    </row>
    <row r="41" spans="1:12" x14ac:dyDescent="0.2">
      <c r="A41" s="9" t="s">
        <v>39</v>
      </c>
      <c r="B41" s="10">
        <v>2436</v>
      </c>
      <c r="C41" s="1011">
        <f>SUMIF('2015 Factor % to units'!B:B,B41,'2015 Factor % to units'!AO:AO)</f>
        <v>3.612903225806448</v>
      </c>
      <c r="D41" s="1011">
        <f>SUMIF('2015 Factor % to units'!B:B,B41,'2015 Factor % to units'!AP:AP)</f>
        <v>0</v>
      </c>
      <c r="E41" s="23">
        <f t="shared" si="1"/>
        <v>3091.6834064516097</v>
      </c>
      <c r="F41" s="1009">
        <f t="shared" si="0"/>
        <v>0</v>
      </c>
      <c r="G41" s="1035">
        <f t="shared" si="2"/>
        <v>3091.6834064516097</v>
      </c>
      <c r="I41" t="str">
        <f t="shared" si="3"/>
        <v>8312436</v>
      </c>
      <c r="J41">
        <v>0</v>
      </c>
      <c r="K41" s="1009"/>
      <c r="L41" s="1009"/>
    </row>
    <row r="42" spans="1:12" x14ac:dyDescent="0.2">
      <c r="A42" s="9" t="s">
        <v>40</v>
      </c>
      <c r="B42" s="10">
        <v>2452</v>
      </c>
      <c r="C42" s="1011">
        <f>SUMIF('2015 Factor % to units'!B:B,B42,'2015 Factor % to units'!AO:AO)</f>
        <v>11.412429378531066</v>
      </c>
      <c r="D42" s="1011">
        <f>SUMIF('2015 Factor % to units'!B:B,B42,'2015 Factor % to units'!AP:AP)</f>
        <v>0</v>
      </c>
      <c r="E42" s="23">
        <f t="shared" si="1"/>
        <v>9766.0015593220269</v>
      </c>
      <c r="F42" s="1009">
        <f t="shared" si="0"/>
        <v>0</v>
      </c>
      <c r="G42" s="1035">
        <f t="shared" si="2"/>
        <v>9766.0015593220269</v>
      </c>
      <c r="I42" t="str">
        <f t="shared" si="3"/>
        <v>8312452</v>
      </c>
      <c r="J42">
        <v>0</v>
      </c>
      <c r="K42" s="1009"/>
      <c r="L42" s="1009"/>
    </row>
    <row r="43" spans="1:12" x14ac:dyDescent="0.2">
      <c r="A43" s="9" t="s">
        <v>41</v>
      </c>
      <c r="B43" s="10">
        <v>2627</v>
      </c>
      <c r="C43" s="1011">
        <f>SUMIF('2015 Factor % to units'!B:B,B43,'2015 Factor % to units'!AO:AO)</f>
        <v>38.963855421686752</v>
      </c>
      <c r="D43" s="1011">
        <f>SUMIF('2015 Factor % to units'!B:B,B43,'2015 Factor % to units'!AP:AP)</f>
        <v>0</v>
      </c>
      <c r="E43" s="23">
        <f t="shared" si="1"/>
        <v>33342.688062650603</v>
      </c>
      <c r="F43" s="1009">
        <f t="shared" si="0"/>
        <v>0</v>
      </c>
      <c r="G43" s="1035">
        <f t="shared" si="2"/>
        <v>33342.688062650603</v>
      </c>
      <c r="I43" t="str">
        <f t="shared" si="3"/>
        <v>8312627</v>
      </c>
      <c r="J43">
        <v>0</v>
      </c>
      <c r="K43" s="1009"/>
      <c r="L43" s="1009"/>
    </row>
    <row r="44" spans="1:12" x14ac:dyDescent="0.2">
      <c r="A44" s="9" t="s">
        <v>42</v>
      </c>
      <c r="B44" s="10">
        <v>2009</v>
      </c>
      <c r="C44" s="1011">
        <f>SUMIF('2015 Factor % to units'!B:B,B44,'2015 Factor % to units'!AO:AO)</f>
        <v>18.205128205128204</v>
      </c>
      <c r="D44" s="1011">
        <f>SUMIF('2015 Factor % to units'!B:B,B44,'2015 Factor % to units'!AP:AP)</f>
        <v>0</v>
      </c>
      <c r="E44" s="23">
        <f t="shared" si="1"/>
        <v>15578.743538461538</v>
      </c>
      <c r="F44" s="1009">
        <f t="shared" si="0"/>
        <v>0</v>
      </c>
      <c r="G44" s="1035">
        <f t="shared" si="2"/>
        <v>15578.743538461538</v>
      </c>
      <c r="I44" t="str">
        <f t="shared" si="3"/>
        <v>8312009</v>
      </c>
      <c r="J44">
        <v>0</v>
      </c>
      <c r="K44" s="1009"/>
      <c r="L44" s="1009"/>
    </row>
    <row r="45" spans="1:12" x14ac:dyDescent="0.2">
      <c r="A45" s="9" t="s">
        <v>101</v>
      </c>
      <c r="B45" s="10">
        <v>2473</v>
      </c>
      <c r="C45" s="1011">
        <f>SUMIF('2015 Factor % to units'!B:B,B45,'2015 Factor % to units'!AO:AO)</f>
        <v>1.4944444444444456</v>
      </c>
      <c r="D45" s="1011">
        <f>SUMIF('2015 Factor % to units'!B:B,B45,'2015 Factor % to units'!AP:AP)</f>
        <v>0</v>
      </c>
      <c r="E45" s="23">
        <f t="shared" si="1"/>
        <v>1278.8466233333343</v>
      </c>
      <c r="F45" s="1009">
        <f t="shared" si="0"/>
        <v>0</v>
      </c>
      <c r="G45" s="1035">
        <f t="shared" si="2"/>
        <v>1278.8466233333343</v>
      </c>
      <c r="I45" t="str">
        <f t="shared" si="3"/>
        <v>8312473</v>
      </c>
      <c r="J45">
        <v>0</v>
      </c>
      <c r="K45" s="1009"/>
      <c r="L45" s="1009"/>
    </row>
    <row r="46" spans="1:12" x14ac:dyDescent="0.2">
      <c r="A46" s="9" t="s">
        <v>44</v>
      </c>
      <c r="B46" s="10">
        <v>2471</v>
      </c>
      <c r="C46" s="1011">
        <f>SUMIF('2015 Factor % to units'!B:B,B46,'2015 Factor % to units'!AO:AO)</f>
        <v>3.0172413793103434</v>
      </c>
      <c r="D46" s="1011">
        <f>SUMIF('2015 Factor % to units'!B:B,B46,'2015 Factor % to units'!AP:AP)</f>
        <v>0</v>
      </c>
      <c r="E46" s="23">
        <f t="shared" si="1"/>
        <v>2581.9554310344815</v>
      </c>
      <c r="F46" s="1009">
        <f t="shared" si="0"/>
        <v>0</v>
      </c>
      <c r="G46" s="1035">
        <f t="shared" si="2"/>
        <v>2581.9554310344815</v>
      </c>
      <c r="I46" t="str">
        <f t="shared" si="3"/>
        <v>8312471</v>
      </c>
      <c r="J46">
        <v>0</v>
      </c>
      <c r="K46" s="1009"/>
      <c r="L46" s="1009"/>
    </row>
    <row r="47" spans="1:12" x14ac:dyDescent="0.2">
      <c r="A47" s="9" t="s">
        <v>43</v>
      </c>
      <c r="B47" s="10">
        <v>2420</v>
      </c>
      <c r="C47" s="1011">
        <f>SUMIF('2015 Factor % to units'!B:B,B47,'2015 Factor % to units'!AO:AO)</f>
        <v>156.81055155875313</v>
      </c>
      <c r="D47" s="1011">
        <f>SUMIF('2015 Factor % to units'!B:B,B47,'2015 Factor % to units'!AP:AP)</f>
        <v>0</v>
      </c>
      <c r="E47" s="23">
        <f t="shared" si="1"/>
        <v>134188.08916546774</v>
      </c>
      <c r="F47" s="1009">
        <f t="shared" si="0"/>
        <v>0</v>
      </c>
      <c r="G47" s="1035">
        <f t="shared" si="2"/>
        <v>134188.08916546774</v>
      </c>
      <c r="I47" t="str">
        <f t="shared" si="3"/>
        <v>8312420</v>
      </c>
      <c r="J47">
        <v>0</v>
      </c>
      <c r="K47" s="1009"/>
      <c r="L47" s="1009"/>
    </row>
    <row r="48" spans="1:12" x14ac:dyDescent="0.2">
      <c r="A48" s="9" t="s">
        <v>45</v>
      </c>
      <c r="B48" s="10">
        <v>2003</v>
      </c>
      <c r="C48" s="1011">
        <f>SUMIF('2015 Factor % to units'!B:B,B48,'2015 Factor % to units'!AO:AO)</f>
        <v>0</v>
      </c>
      <c r="D48" s="1011">
        <f>SUMIF('2015 Factor % to units'!B:B,B48,'2015 Factor % to units'!AP:AP)</f>
        <v>0</v>
      </c>
      <c r="E48" s="23">
        <f t="shared" si="1"/>
        <v>0</v>
      </c>
      <c r="F48" s="1009">
        <f t="shared" si="0"/>
        <v>0</v>
      </c>
      <c r="G48" s="1035">
        <f t="shared" si="2"/>
        <v>0</v>
      </c>
      <c r="I48" t="str">
        <f t="shared" si="3"/>
        <v>8312003</v>
      </c>
      <c r="J48">
        <v>0</v>
      </c>
      <c r="K48" s="1009"/>
      <c r="L48" s="1009"/>
    </row>
    <row r="49" spans="1:12" x14ac:dyDescent="0.2">
      <c r="A49" s="9" t="s">
        <v>46</v>
      </c>
      <c r="B49" s="10">
        <v>2423</v>
      </c>
      <c r="C49" s="1011">
        <f>SUMIF('2015 Factor % to units'!B:B,B49,'2015 Factor % to units'!AO:AO)</f>
        <v>123.97846153846143</v>
      </c>
      <c r="D49" s="1011">
        <f>SUMIF('2015 Factor % to units'!B:B,B49,'2015 Factor % to units'!AP:AP)</f>
        <v>0</v>
      </c>
      <c r="E49" s="23">
        <f t="shared" si="1"/>
        <v>106092.56001046144</v>
      </c>
      <c r="F49" s="1009">
        <f t="shared" si="0"/>
        <v>0</v>
      </c>
      <c r="G49" s="1035">
        <f t="shared" si="2"/>
        <v>106092.56001046144</v>
      </c>
      <c r="I49" t="str">
        <f t="shared" si="3"/>
        <v>8312423</v>
      </c>
      <c r="J49">
        <v>0</v>
      </c>
      <c r="K49" s="1009"/>
      <c r="L49" s="1009"/>
    </row>
    <row r="50" spans="1:12" x14ac:dyDescent="0.2">
      <c r="A50" s="9" t="s">
        <v>47</v>
      </c>
      <c r="B50" s="10">
        <v>2424</v>
      </c>
      <c r="C50" s="1011">
        <f>SUMIF('2015 Factor % to units'!B:B,B50,'2015 Factor % to units'!AO:AO)</f>
        <v>193.29545454545459</v>
      </c>
      <c r="D50" s="1011">
        <f>SUMIF('2015 Factor % to units'!B:B,B50,'2015 Factor % to units'!AP:AP)</f>
        <v>0</v>
      </c>
      <c r="E50" s="23">
        <f t="shared" si="1"/>
        <v>165409.45384090912</v>
      </c>
      <c r="F50" s="1009">
        <f t="shared" si="0"/>
        <v>0</v>
      </c>
      <c r="G50" s="1035">
        <f t="shared" si="2"/>
        <v>165409.45384090912</v>
      </c>
      <c r="I50" t="str">
        <f t="shared" si="3"/>
        <v>8312424</v>
      </c>
      <c r="J50">
        <v>0</v>
      </c>
      <c r="K50" s="1009"/>
      <c r="L50" s="1009"/>
    </row>
    <row r="51" spans="1:12" x14ac:dyDescent="0.2">
      <c r="A51" s="9" t="s">
        <v>48</v>
      </c>
      <c r="B51" s="10">
        <v>2439</v>
      </c>
      <c r="C51" s="1011">
        <f>SUMIF('2015 Factor % to units'!B:B,B51,'2015 Factor % to units'!AO:AO)</f>
        <v>13.879518072289152</v>
      </c>
      <c r="D51" s="1011">
        <f>SUMIF('2015 Factor % to units'!B:B,B51,'2015 Factor % to units'!AP:AP)</f>
        <v>0</v>
      </c>
      <c r="E51" s="23">
        <f t="shared" si="1"/>
        <v>11877.17274216867</v>
      </c>
      <c r="F51" s="1009">
        <f t="shared" si="0"/>
        <v>0</v>
      </c>
      <c r="G51" s="1035">
        <f t="shared" si="2"/>
        <v>11877.17274216867</v>
      </c>
      <c r="I51" t="str">
        <f t="shared" si="3"/>
        <v>8312439</v>
      </c>
      <c r="J51">
        <v>0</v>
      </c>
      <c r="K51" s="1009"/>
      <c r="L51" s="1009"/>
    </row>
    <row r="52" spans="1:12" x14ac:dyDescent="0.2">
      <c r="A52" s="9" t="s">
        <v>49</v>
      </c>
      <c r="B52" s="10">
        <v>2440</v>
      </c>
      <c r="C52" s="1011">
        <f>SUMIF('2015 Factor % to units'!B:B,B52,'2015 Factor % to units'!AO:AO)</f>
        <v>10.000000000000009</v>
      </c>
      <c r="D52" s="1011">
        <f>SUMIF('2015 Factor % to units'!B:B,B52,'2015 Factor % to units'!AP:AP)</f>
        <v>0</v>
      </c>
      <c r="E52" s="23">
        <f t="shared" si="1"/>
        <v>8557.338000000007</v>
      </c>
      <c r="F52" s="1009">
        <f t="shared" si="0"/>
        <v>0</v>
      </c>
      <c r="G52" s="1035">
        <f t="shared" si="2"/>
        <v>8557.338000000007</v>
      </c>
      <c r="I52" t="str">
        <f t="shared" si="3"/>
        <v>8312440</v>
      </c>
      <c r="J52">
        <v>0</v>
      </c>
      <c r="K52" s="1009"/>
      <c r="L52" s="1009"/>
    </row>
    <row r="53" spans="1:12" x14ac:dyDescent="0.2">
      <c r="A53" s="9" t="s">
        <v>102</v>
      </c>
      <c r="B53" s="10">
        <v>2462</v>
      </c>
      <c r="C53" s="1011">
        <f>SUMIF('2015 Factor % to units'!B:B,B53,'2015 Factor % to units'!AO:AO)</f>
        <v>37.827814569536336</v>
      </c>
      <c r="D53" s="1011">
        <f>SUMIF('2015 Factor % to units'!B:B,B53,'2015 Factor % to units'!AP:AP)</f>
        <v>0</v>
      </c>
      <c r="E53" s="23">
        <f t="shared" si="1"/>
        <v>32370.539507284691</v>
      </c>
      <c r="F53" s="1009">
        <f t="shared" si="0"/>
        <v>0</v>
      </c>
      <c r="G53" s="1035">
        <f t="shared" si="2"/>
        <v>32370.539507284691</v>
      </c>
      <c r="I53" t="str">
        <f t="shared" si="3"/>
        <v>8312462</v>
      </c>
      <c r="J53">
        <v>0</v>
      </c>
      <c r="K53" s="1009"/>
      <c r="L53" s="1009"/>
    </row>
    <row r="54" spans="1:12" x14ac:dyDescent="0.2">
      <c r="A54" s="9" t="s">
        <v>50</v>
      </c>
      <c r="B54" s="10">
        <v>2463</v>
      </c>
      <c r="C54" s="1011">
        <f>SUMIF('2015 Factor % to units'!B:B,B54,'2015 Factor % to units'!AO:AO)</f>
        <v>26.23423423423424</v>
      </c>
      <c r="D54" s="1011">
        <f>SUMIF('2015 Factor % to units'!B:B,B54,'2015 Factor % to units'!AP:AP)</f>
        <v>0</v>
      </c>
      <c r="E54" s="23">
        <f t="shared" si="1"/>
        <v>22449.520951351355</v>
      </c>
      <c r="F54" s="1009">
        <f t="shared" si="0"/>
        <v>0</v>
      </c>
      <c r="G54" s="1035">
        <f t="shared" si="2"/>
        <v>22449.520951351355</v>
      </c>
      <c r="I54" t="str">
        <f t="shared" si="3"/>
        <v>8312463</v>
      </c>
      <c r="J54">
        <v>0</v>
      </c>
      <c r="K54" s="1009"/>
      <c r="L54" s="1009"/>
    </row>
    <row r="55" spans="1:12" x14ac:dyDescent="0.2">
      <c r="A55" s="9" t="s">
        <v>51</v>
      </c>
      <c r="B55" s="10">
        <v>2505</v>
      </c>
      <c r="C55" s="1011">
        <f>SUMIF('2015 Factor % to units'!B:B,B55,'2015 Factor % to units'!AO:AO)</f>
        <v>102.16744186046495</v>
      </c>
      <c r="D55" s="1011">
        <f>SUMIF('2015 Factor % to units'!B:B,B55,'2015 Factor % to units'!AP:AP)</f>
        <v>0</v>
      </c>
      <c r="E55" s="23">
        <f t="shared" si="1"/>
        <v>87428.133259534734</v>
      </c>
      <c r="F55" s="1009">
        <f t="shared" si="0"/>
        <v>0</v>
      </c>
      <c r="G55" s="1035">
        <f t="shared" si="2"/>
        <v>87428.133259534734</v>
      </c>
      <c r="I55" t="str">
        <f t="shared" si="3"/>
        <v>8312505</v>
      </c>
      <c r="J55">
        <v>0</v>
      </c>
      <c r="K55" s="1009"/>
      <c r="L55" s="1009"/>
    </row>
    <row r="56" spans="1:12" x14ac:dyDescent="0.2">
      <c r="A56" s="9" t="s">
        <v>52</v>
      </c>
      <c r="B56" s="10">
        <v>2000</v>
      </c>
      <c r="C56" s="1011">
        <f>SUMIF('2015 Factor % to units'!B:B,B56,'2015 Factor % to units'!AO:AO)</f>
        <v>29.910780669145009</v>
      </c>
      <c r="D56" s="1011">
        <f>SUMIF('2015 Factor % to units'!B:B,B56,'2015 Factor % to units'!AP:AP)</f>
        <v>0</v>
      </c>
      <c r="E56" s="23">
        <f t="shared" si="1"/>
        <v>25595.666002974001</v>
      </c>
      <c r="F56" s="1009">
        <f t="shared" si="0"/>
        <v>0</v>
      </c>
      <c r="G56" s="1035">
        <f t="shared" si="2"/>
        <v>25595.666002974001</v>
      </c>
      <c r="I56" t="str">
        <f t="shared" si="3"/>
        <v>8312000</v>
      </c>
      <c r="J56">
        <v>0</v>
      </c>
      <c r="K56" s="1009"/>
      <c r="L56" s="1009"/>
    </row>
    <row r="57" spans="1:12" x14ac:dyDescent="0.2">
      <c r="A57" s="9" t="s">
        <v>53</v>
      </c>
      <c r="B57" s="10">
        <v>2458</v>
      </c>
      <c r="C57" s="1011">
        <f>SUMIF('2015 Factor % to units'!B:B,B57,'2015 Factor % to units'!AO:AO)</f>
        <v>108</v>
      </c>
      <c r="D57" s="1011">
        <f>SUMIF('2015 Factor % to units'!B:B,B57,'2015 Factor % to units'!AP:AP)</f>
        <v>0</v>
      </c>
      <c r="E57" s="23">
        <f t="shared" si="1"/>
        <v>92419.25039999999</v>
      </c>
      <c r="F57" s="1009">
        <f t="shared" si="0"/>
        <v>0</v>
      </c>
      <c r="G57" s="1035">
        <f t="shared" si="2"/>
        <v>92419.25039999999</v>
      </c>
      <c r="I57" t="str">
        <f t="shared" si="3"/>
        <v>8312458</v>
      </c>
      <c r="J57">
        <v>0</v>
      </c>
      <c r="K57" s="1009"/>
      <c r="L57" s="1009"/>
    </row>
    <row r="58" spans="1:12" x14ac:dyDescent="0.2">
      <c r="A58" s="9" t="s">
        <v>54</v>
      </c>
      <c r="B58" s="10">
        <v>2001</v>
      </c>
      <c r="C58" s="1011">
        <f>SUMIF('2015 Factor % to units'!B:B,B58,'2015 Factor % to units'!AO:AO)</f>
        <v>20.621993127147768</v>
      </c>
      <c r="D58" s="1011">
        <f>SUMIF('2015 Factor % to units'!B:B,B58,'2015 Factor % to units'!AP:AP)</f>
        <v>0</v>
      </c>
      <c r="E58" s="23">
        <f t="shared" si="1"/>
        <v>17646.936542268042</v>
      </c>
      <c r="F58" s="1009">
        <f t="shared" si="0"/>
        <v>0</v>
      </c>
      <c r="G58" s="1035">
        <f t="shared" si="2"/>
        <v>17646.936542268042</v>
      </c>
      <c r="I58" t="str">
        <f t="shared" si="3"/>
        <v>8312001</v>
      </c>
      <c r="J58">
        <v>0</v>
      </c>
      <c r="K58" s="1009"/>
      <c r="L58" s="1009"/>
    </row>
    <row r="59" spans="1:12" x14ac:dyDescent="0.2">
      <c r="A59" s="9" t="s">
        <v>55</v>
      </c>
      <c r="B59" s="10">
        <v>2429</v>
      </c>
      <c r="C59" s="1011">
        <f>SUMIF('2015 Factor % to units'!B:B,B59,'2015 Factor % to units'!AO:AO)</f>
        <v>98.4375</v>
      </c>
      <c r="D59" s="1011">
        <f>SUMIF('2015 Factor % to units'!B:B,B59,'2015 Factor % to units'!AP:AP)</f>
        <v>0</v>
      </c>
      <c r="E59" s="23">
        <f t="shared" si="1"/>
        <v>84236.295937499992</v>
      </c>
      <c r="F59" s="1009">
        <f t="shared" si="0"/>
        <v>0</v>
      </c>
      <c r="G59" s="1035">
        <f t="shared" si="2"/>
        <v>84236.295937499992</v>
      </c>
      <c r="I59" t="str">
        <f t="shared" si="3"/>
        <v>8312429</v>
      </c>
      <c r="J59">
        <v>0</v>
      </c>
      <c r="K59" s="1009"/>
      <c r="L59" s="1009"/>
    </row>
    <row r="60" spans="1:12" x14ac:dyDescent="0.2">
      <c r="A60" s="9" t="s">
        <v>56</v>
      </c>
      <c r="B60" s="10">
        <v>2444</v>
      </c>
      <c r="C60" s="1011">
        <f>SUMIF('2015 Factor % to units'!B:B,B60,'2015 Factor % to units'!AO:AO)</f>
        <v>34.666666666666735</v>
      </c>
      <c r="D60" s="1011">
        <f>SUMIF('2015 Factor % to units'!B:B,B60,'2015 Factor % to units'!AP:AP)</f>
        <v>0</v>
      </c>
      <c r="E60" s="23">
        <f t="shared" si="1"/>
        <v>29665.438400000057</v>
      </c>
      <c r="F60" s="1009">
        <f t="shared" si="0"/>
        <v>0</v>
      </c>
      <c r="G60" s="1035">
        <f t="shared" si="2"/>
        <v>29665.438400000057</v>
      </c>
      <c r="I60" t="str">
        <f t="shared" si="3"/>
        <v>8312444</v>
      </c>
      <c r="J60">
        <v>0</v>
      </c>
      <c r="K60" s="1009"/>
      <c r="L60" s="1009"/>
    </row>
    <row r="61" spans="1:12" x14ac:dyDescent="0.2">
      <c r="A61" s="9" t="s">
        <v>57</v>
      </c>
      <c r="B61" s="10">
        <v>5209</v>
      </c>
      <c r="C61" s="1011">
        <f>SUMIF('2015 Factor % to units'!B:B,B61,'2015 Factor % to units'!AO:AO)</f>
        <v>12.132841328413273</v>
      </c>
      <c r="D61" s="1011">
        <f>SUMIF('2015 Factor % to units'!B:B,B61,'2015 Factor % to units'!AP:AP)</f>
        <v>0</v>
      </c>
      <c r="E61" s="23">
        <f t="shared" si="1"/>
        <v>10382.482414760138</v>
      </c>
      <c r="F61" s="1009">
        <f t="shared" si="0"/>
        <v>0</v>
      </c>
      <c r="G61" s="1035">
        <f t="shared" si="2"/>
        <v>10382.482414760138</v>
      </c>
      <c r="I61" t="str">
        <f t="shared" si="3"/>
        <v>8315209</v>
      </c>
      <c r="J61">
        <v>0</v>
      </c>
      <c r="K61" s="1009"/>
      <c r="L61" s="1009"/>
    </row>
    <row r="62" spans="1:12" x14ac:dyDescent="0.2">
      <c r="A62" s="9" t="s">
        <v>58</v>
      </c>
      <c r="B62" s="10">
        <v>2469</v>
      </c>
      <c r="C62" s="1011">
        <f>SUMIF('2015 Factor % to units'!B:B,B62,'2015 Factor % to units'!AO:AO)</f>
        <v>39.811965811965827</v>
      </c>
      <c r="D62" s="1011">
        <f>SUMIF('2015 Factor % to units'!B:B,B62,'2015 Factor % to units'!AP:AP)</f>
        <v>0</v>
      </c>
      <c r="E62" s="23">
        <f t="shared" si="1"/>
        <v>34068.444789743604</v>
      </c>
      <c r="F62" s="1009">
        <f t="shared" si="0"/>
        <v>0</v>
      </c>
      <c r="G62" s="1035">
        <f t="shared" si="2"/>
        <v>34068.444789743604</v>
      </c>
      <c r="I62" t="str">
        <f t="shared" si="3"/>
        <v>8312469</v>
      </c>
      <c r="J62">
        <v>0</v>
      </c>
      <c r="K62" s="1009"/>
      <c r="L62" s="1009"/>
    </row>
    <row r="63" spans="1:12" x14ac:dyDescent="0.2">
      <c r="A63" s="22" t="s">
        <v>451</v>
      </c>
      <c r="B63" s="10">
        <v>2430</v>
      </c>
      <c r="C63" s="1011">
        <f>SUMIF('2015 Factor % to units'!B:B,B63,'2015 Factor % to units'!AO:AO)</f>
        <v>32.16494845360824</v>
      </c>
      <c r="D63" s="1011">
        <f>SUMIF('2015 Factor % to units'!B:B,B63,'2015 Factor % to units'!AP:AP)</f>
        <v>0</v>
      </c>
      <c r="E63" s="23">
        <f t="shared" si="1"/>
        <v>27524.633567010304</v>
      </c>
      <c r="F63" s="1009">
        <f t="shared" si="0"/>
        <v>0</v>
      </c>
      <c r="G63" s="1035">
        <f t="shared" si="2"/>
        <v>27524.633567010304</v>
      </c>
      <c r="I63" t="str">
        <f t="shared" si="3"/>
        <v>8312430</v>
      </c>
      <c r="J63">
        <v>0</v>
      </c>
      <c r="K63" s="1009"/>
      <c r="L63" s="1009"/>
    </row>
    <row r="64" spans="1:12" x14ac:dyDescent="0.2">
      <c r="A64" s="9" t="s">
        <v>59</v>
      </c>
      <c r="B64" s="10">
        <v>2466</v>
      </c>
      <c r="C64" s="1011">
        <f>SUMIF('2015 Factor % to units'!B:B,B64,'2015 Factor % to units'!AO:AO)</f>
        <v>3.4161849710982568</v>
      </c>
      <c r="D64" s="1011">
        <f>SUMIF('2015 Factor % to units'!B:B,B64,'2015 Factor % to units'!AP:AP)</f>
        <v>0</v>
      </c>
      <c r="E64" s="23">
        <f t="shared" si="1"/>
        <v>2923.3449468208014</v>
      </c>
      <c r="F64" s="1009">
        <f t="shared" si="0"/>
        <v>0</v>
      </c>
      <c r="G64" s="1035">
        <f t="shared" si="2"/>
        <v>2923.3449468208014</v>
      </c>
      <c r="I64" t="str">
        <f t="shared" si="3"/>
        <v>8312466</v>
      </c>
      <c r="J64">
        <v>0</v>
      </c>
      <c r="K64" s="1009"/>
      <c r="L64" s="1009"/>
    </row>
    <row r="65" spans="1:12" x14ac:dyDescent="0.2">
      <c r="A65" s="9" t="s">
        <v>60</v>
      </c>
      <c r="B65" s="10">
        <v>3543</v>
      </c>
      <c r="C65" s="1011">
        <f>SUMIF('2015 Factor % to units'!B:B,B65,'2015 Factor % to units'!AO:AO)</f>
        <v>22.427450980392148</v>
      </c>
      <c r="D65" s="1011">
        <f>SUMIF('2015 Factor % to units'!B:B,B65,'2015 Factor % to units'!AP:AP)</f>
        <v>0</v>
      </c>
      <c r="E65" s="23">
        <f t="shared" si="1"/>
        <v>19191.927851764696</v>
      </c>
      <c r="F65" s="1009">
        <f t="shared" si="0"/>
        <v>0</v>
      </c>
      <c r="G65" s="1035">
        <f t="shared" si="2"/>
        <v>19191.927851764696</v>
      </c>
      <c r="I65" t="str">
        <f t="shared" si="3"/>
        <v>8313543</v>
      </c>
      <c r="J65">
        <v>0</v>
      </c>
      <c r="K65" s="1009"/>
      <c r="L65" s="1009"/>
    </row>
    <row r="66" spans="1:12" x14ac:dyDescent="0.2">
      <c r="A66" s="9" t="s">
        <v>62</v>
      </c>
      <c r="B66" s="10">
        <v>3531</v>
      </c>
      <c r="C66" s="1011">
        <f>SUMIF('2015 Factor % to units'!B:B,B66,'2015 Factor % to units'!AO:AO)</f>
        <v>37.298013245033026</v>
      </c>
      <c r="D66" s="1011">
        <f>SUMIF('2015 Factor % to units'!B:B,B66,'2015 Factor % to units'!AP:AP)</f>
        <v>0</v>
      </c>
      <c r="E66" s="23">
        <f t="shared" si="1"/>
        <v>31917.17060662244</v>
      </c>
      <c r="F66" s="1009">
        <f t="shared" si="0"/>
        <v>0</v>
      </c>
      <c r="G66" s="1035">
        <f t="shared" si="2"/>
        <v>31917.17060662244</v>
      </c>
      <c r="I66" t="str">
        <f t="shared" si="3"/>
        <v>8313531</v>
      </c>
      <c r="J66">
        <v>0</v>
      </c>
      <c r="K66" s="1009"/>
      <c r="L66" s="1009"/>
    </row>
    <row r="67" spans="1:12" x14ac:dyDescent="0.2">
      <c r="A67" s="9" t="s">
        <v>103</v>
      </c>
      <c r="B67" s="10">
        <v>3526</v>
      </c>
      <c r="C67" s="1011">
        <f>SUMIF('2015 Factor % to units'!B:B,B67,'2015 Factor % to units'!AO:AO)</f>
        <v>66.454545454545467</v>
      </c>
      <c r="D67" s="1011">
        <f>SUMIF('2015 Factor % to units'!B:B,B67,'2015 Factor % to units'!AP:AP)</f>
        <v>0</v>
      </c>
      <c r="E67" s="23">
        <f t="shared" si="1"/>
        <v>56867.400709090922</v>
      </c>
      <c r="F67" s="1009">
        <f t="shared" si="0"/>
        <v>0</v>
      </c>
      <c r="G67" s="1035">
        <f t="shared" si="2"/>
        <v>56867.400709090922</v>
      </c>
      <c r="I67" t="str">
        <f t="shared" si="3"/>
        <v>8313526</v>
      </c>
      <c r="J67">
        <v>0</v>
      </c>
      <c r="K67" s="1009"/>
      <c r="L67" s="1009"/>
    </row>
    <row r="68" spans="1:12" x14ac:dyDescent="0.2">
      <c r="A68" s="9" t="s">
        <v>104</v>
      </c>
      <c r="B68" s="10">
        <v>3535</v>
      </c>
      <c r="C68" s="1011">
        <f>SUMIF('2015 Factor % to units'!B:B,B68,'2015 Factor % to units'!AO:AO)</f>
        <v>83.280405405405276</v>
      </c>
      <c r="D68" s="1011">
        <f>SUMIF('2015 Factor % to units'!B:B,B68,'2015 Factor % to units'!AP:AP)</f>
        <v>0</v>
      </c>
      <c r="E68" s="23">
        <f t="shared" si="1"/>
        <v>71265.857783107989</v>
      </c>
      <c r="F68" s="1009">
        <f t="shared" si="0"/>
        <v>0</v>
      </c>
      <c r="G68" s="1035">
        <f t="shared" si="2"/>
        <v>71265.857783107989</v>
      </c>
      <c r="I68" t="str">
        <f t="shared" si="3"/>
        <v>8313535</v>
      </c>
      <c r="J68">
        <v>0</v>
      </c>
      <c r="K68" s="1009"/>
      <c r="L68" s="1009"/>
    </row>
    <row r="69" spans="1:12" x14ac:dyDescent="0.2">
      <c r="A69" s="12" t="s">
        <v>64</v>
      </c>
      <c r="B69" s="10">
        <v>2008</v>
      </c>
      <c r="C69" s="1011">
        <f>SUMIF('2015 Factor % to units'!B:B,B69,'2015 Factor % to units'!AO:AO)</f>
        <v>17.272727272727284</v>
      </c>
      <c r="D69" s="1011">
        <f>SUMIF('2015 Factor % to units'!B:B,B69,'2015 Factor % to units'!AP:AP)</f>
        <v>0</v>
      </c>
      <c r="E69" s="23">
        <f t="shared" si="1"/>
        <v>14780.856545454555</v>
      </c>
      <c r="F69" s="1009">
        <f t="shared" si="0"/>
        <v>0</v>
      </c>
      <c r="G69" s="1035">
        <f t="shared" si="2"/>
        <v>14780.856545454555</v>
      </c>
      <c r="I69" t="str">
        <f t="shared" si="3"/>
        <v>8312008</v>
      </c>
      <c r="J69">
        <v>0</v>
      </c>
      <c r="K69" s="1009"/>
      <c r="L69" s="1009"/>
    </row>
    <row r="70" spans="1:12" x14ac:dyDescent="0.2">
      <c r="A70" s="9" t="s">
        <v>105</v>
      </c>
      <c r="B70" s="10">
        <v>3542</v>
      </c>
      <c r="C70" s="1011">
        <f>SUMIF('2015 Factor % to units'!B:B,B70,'2015 Factor % to units'!AO:AO)</f>
        <v>92.122923588039754</v>
      </c>
      <c r="D70" s="1011">
        <f>SUMIF('2015 Factor % to units'!B:B,B70,'2015 Factor % to units'!AP:AP)</f>
        <v>0</v>
      </c>
      <c r="E70" s="23">
        <f t="shared" si="1"/>
        <v>78832.699469102896</v>
      </c>
      <c r="F70" s="1009">
        <f t="shared" si="0"/>
        <v>0</v>
      </c>
      <c r="G70" s="1035">
        <f t="shared" si="2"/>
        <v>78832.699469102896</v>
      </c>
      <c r="I70" t="str">
        <f t="shared" si="3"/>
        <v>8313542</v>
      </c>
      <c r="J70">
        <v>0</v>
      </c>
      <c r="K70" s="1009"/>
      <c r="L70" s="1009"/>
    </row>
    <row r="71" spans="1:12" x14ac:dyDescent="0.2">
      <c r="A71" s="9" t="s">
        <v>106</v>
      </c>
      <c r="B71" s="10">
        <v>3528</v>
      </c>
      <c r="C71" s="1011">
        <f>SUMIF('2015 Factor % to units'!B:B,B71,'2015 Factor % to units'!AO:AO)</f>
        <v>66.547945205479365</v>
      </c>
      <c r="D71" s="1011">
        <f>SUMIF('2015 Factor % to units'!B:B,B71,'2015 Factor % to units'!AP:AP)</f>
        <v>0</v>
      </c>
      <c r="E71" s="23">
        <f t="shared" si="1"/>
        <v>56947.326032876634</v>
      </c>
      <c r="F71" s="1009">
        <f t="shared" ref="F71:F77" si="4">E$2*D71</f>
        <v>0</v>
      </c>
      <c r="G71" s="1035">
        <f t="shared" si="2"/>
        <v>56947.326032876634</v>
      </c>
      <c r="I71" t="str">
        <f t="shared" si="3"/>
        <v>8313528</v>
      </c>
      <c r="J71">
        <v>0</v>
      </c>
      <c r="K71" s="1009"/>
      <c r="L71" s="1009"/>
    </row>
    <row r="72" spans="1:12" x14ac:dyDescent="0.2">
      <c r="A72" s="9" t="s">
        <v>107</v>
      </c>
      <c r="B72" s="10">
        <v>3534</v>
      </c>
      <c r="C72" s="1011">
        <f>SUMIF('2015 Factor % to units'!B:B,B72,'2015 Factor % to units'!AO:AO)</f>
        <v>16.33472803347281</v>
      </c>
      <c r="D72" s="1011">
        <f>SUMIF('2015 Factor % to units'!B:B,B72,'2015 Factor % to units'!AP:AP)</f>
        <v>0</v>
      </c>
      <c r="E72" s="23">
        <f t="shared" ref="E72:E77" si="5">E$1*C72</f>
        <v>13978.178892050215</v>
      </c>
      <c r="F72" s="1009">
        <f t="shared" si="4"/>
        <v>0</v>
      </c>
      <c r="G72" s="1035">
        <f t="shared" ref="G72:G77" si="6">F72+E72</f>
        <v>13978.178892050215</v>
      </c>
      <c r="I72" t="str">
        <f t="shared" ref="I72:I77" si="7">CONCATENATE(831,B72)</f>
        <v>8313534</v>
      </c>
      <c r="J72">
        <v>0</v>
      </c>
      <c r="K72" s="1009"/>
      <c r="L72" s="1009"/>
    </row>
    <row r="73" spans="1:12" x14ac:dyDescent="0.2">
      <c r="A73" s="9" t="s">
        <v>108</v>
      </c>
      <c r="B73" s="10">
        <v>3532</v>
      </c>
      <c r="C73" s="1011">
        <f>SUMIF('2015 Factor % to units'!B:B,B73,'2015 Factor % to units'!AO:AO)</f>
        <v>0</v>
      </c>
      <c r="D73" s="1011">
        <f>SUMIF('2015 Factor % to units'!B:B,B73,'2015 Factor % to units'!AP:AP)</f>
        <v>0</v>
      </c>
      <c r="E73" s="23">
        <f t="shared" si="5"/>
        <v>0</v>
      </c>
      <c r="F73" s="1009">
        <f t="shared" si="4"/>
        <v>0</v>
      </c>
      <c r="G73" s="1035">
        <f t="shared" si="6"/>
        <v>0</v>
      </c>
      <c r="I73" t="str">
        <f t="shared" si="7"/>
        <v>8313532</v>
      </c>
      <c r="J73">
        <v>0</v>
      </c>
      <c r="K73" s="1009"/>
      <c r="L73" s="1009"/>
    </row>
    <row r="74" spans="1:12" x14ac:dyDescent="0.2">
      <c r="A74" s="9" t="s">
        <v>65</v>
      </c>
      <c r="B74" s="10">
        <v>3546</v>
      </c>
      <c r="C74" s="1011">
        <f>SUMIF('2015 Factor % to units'!B:B,B74,'2015 Factor % to units'!AO:AO)</f>
        <v>118.80000000000022</v>
      </c>
      <c r="D74" s="1011">
        <f>SUMIF('2015 Factor % to units'!B:B,B74,'2015 Factor % to units'!AP:AP)</f>
        <v>0</v>
      </c>
      <c r="E74" s="23">
        <f t="shared" si="5"/>
        <v>101661.1754400002</v>
      </c>
      <c r="F74" s="1009">
        <f t="shared" si="4"/>
        <v>0</v>
      </c>
      <c r="G74" s="1035">
        <f t="shared" si="6"/>
        <v>101661.1754400002</v>
      </c>
      <c r="I74" t="str">
        <f t="shared" si="7"/>
        <v>8313546</v>
      </c>
      <c r="J74">
        <v>0</v>
      </c>
      <c r="K74" s="1009"/>
      <c r="L74" s="1009"/>
    </row>
    <row r="75" spans="1:12" x14ac:dyDescent="0.2">
      <c r="A75" s="9" t="s">
        <v>109</v>
      </c>
      <c r="B75" s="10">
        <v>3530</v>
      </c>
      <c r="C75" s="1011">
        <f>SUMIF('2015 Factor % to units'!B:B,B75,'2015 Factor % to units'!AO:AO)</f>
        <v>1.2192307692307705</v>
      </c>
      <c r="D75" s="1011">
        <f>SUMIF('2015 Factor % to units'!B:B,B75,'2015 Factor % to units'!AP:AP)</f>
        <v>0</v>
      </c>
      <c r="E75" s="23">
        <f t="shared" si="5"/>
        <v>1043.3369792307703</v>
      </c>
      <c r="F75" s="1009">
        <f t="shared" si="4"/>
        <v>0</v>
      </c>
      <c r="G75" s="1035">
        <f t="shared" si="6"/>
        <v>1043.3369792307703</v>
      </c>
      <c r="I75" t="str">
        <f t="shared" si="7"/>
        <v>8313530</v>
      </c>
      <c r="J75">
        <v>0</v>
      </c>
      <c r="K75" s="1009"/>
      <c r="L75" s="1009"/>
    </row>
    <row r="76" spans="1:12" x14ac:dyDescent="0.2">
      <c r="A76" s="9" t="s">
        <v>67</v>
      </c>
      <c r="B76" s="10">
        <v>2459</v>
      </c>
      <c r="C76" s="1011">
        <f>SUMIF('2015 Factor % to units'!B:B,B76,'2015 Factor % to units'!AO:AO)</f>
        <v>18.626865671641774</v>
      </c>
      <c r="D76" s="1011">
        <f>SUMIF('2015 Factor % to units'!B:B,B76,'2015 Factor % to units'!AP:AP)</f>
        <v>0</v>
      </c>
      <c r="E76" s="23">
        <f t="shared" si="5"/>
        <v>15939.638543283567</v>
      </c>
      <c r="F76" s="1009">
        <f t="shared" si="4"/>
        <v>0</v>
      </c>
      <c r="G76" s="1035">
        <f t="shared" si="6"/>
        <v>15939.638543283567</v>
      </c>
      <c r="I76" t="str">
        <f t="shared" si="7"/>
        <v>8312459</v>
      </c>
      <c r="J76">
        <v>0</v>
      </c>
      <c r="K76" s="1009"/>
      <c r="L76" s="1009"/>
    </row>
    <row r="77" spans="1:12" x14ac:dyDescent="0.2">
      <c r="A77" s="9" t="s">
        <v>912</v>
      </c>
      <c r="B77" s="10">
        <v>4000</v>
      </c>
      <c r="C77" s="1011">
        <f>SUMIF('2015 Factor % to units'!B:B,B77,'2015 Factor % to units'!AO:AO)</f>
        <v>158.7956204379563</v>
      </c>
      <c r="D77" s="1011">
        <f>SUMIF('2015 Factor % to units'!B:B,B77,'2015 Factor % to units'!AP:AP)</f>
        <v>0</v>
      </c>
      <c r="E77" s="23">
        <f t="shared" si="5"/>
        <v>135886.77970073</v>
      </c>
      <c r="F77" s="1009">
        <f t="shared" si="4"/>
        <v>0</v>
      </c>
      <c r="G77" s="1035">
        <f t="shared" si="6"/>
        <v>135886.77970073</v>
      </c>
      <c r="I77" t="str">
        <f t="shared" si="7"/>
        <v>8314000</v>
      </c>
      <c r="J77">
        <v>40204.091199999995</v>
      </c>
      <c r="K77" s="1009"/>
      <c r="L77" s="1009"/>
    </row>
    <row r="78" spans="1:12" x14ac:dyDescent="0.2">
      <c r="A78" s="9"/>
      <c r="B78" s="10"/>
      <c r="C78" s="1011"/>
      <c r="D78" s="1011"/>
      <c r="E78" s="23"/>
      <c r="F78" s="1009"/>
      <c r="G78" s="1036"/>
      <c r="K78" s="1009"/>
      <c r="L78" s="1009"/>
    </row>
    <row r="79" spans="1:12" x14ac:dyDescent="0.2">
      <c r="A79" s="1" t="s">
        <v>110</v>
      </c>
      <c r="B79" s="1" t="s">
        <v>110</v>
      </c>
      <c r="C79" s="1031">
        <f>SUM(C7:C77)</f>
        <v>3341.2569614161489</v>
      </c>
      <c r="D79" s="1031">
        <f>SUM(D7:D77)</f>
        <v>0</v>
      </c>
      <c r="E79" s="1031">
        <f>SUM(E7:E77)</f>
        <v>2859226.5163690951</v>
      </c>
      <c r="F79" s="1040">
        <f>SUM(F7:F77)</f>
        <v>0</v>
      </c>
      <c r="G79" s="1040">
        <f>SUM(G7:G77)</f>
        <v>2859226.5163690951</v>
      </c>
      <c r="K79" s="1019"/>
      <c r="L79" s="1019"/>
    </row>
    <row r="80" spans="1:12" x14ac:dyDescent="0.2">
      <c r="A80" s="9"/>
      <c r="B80" s="10"/>
      <c r="C80" s="1011"/>
      <c r="D80" s="1011"/>
      <c r="E80" s="23"/>
      <c r="F80" s="1009"/>
      <c r="G80" s="1036"/>
      <c r="K80" s="1009"/>
      <c r="L80" s="1009"/>
    </row>
    <row r="81" spans="1:12" x14ac:dyDescent="0.2">
      <c r="A81" s="9" t="s">
        <v>75</v>
      </c>
      <c r="B81" s="10">
        <v>5402</v>
      </c>
      <c r="C81" s="1011">
        <f>SUMIF('2015 Factor % to units'!B:B,B81,'2015 Factor % to units'!AO:AO)</f>
        <v>0</v>
      </c>
      <c r="D81" s="1011">
        <f>SUMIF('2015 Factor % to units'!B:B,B81,'2015 Factor % to units'!AP:AP)</f>
        <v>14.042360060514319</v>
      </c>
      <c r="E81" s="23">
        <f t="shared" ref="E81:E93" si="8">E$1*C81</f>
        <v>0</v>
      </c>
      <c r="F81" s="1009">
        <f t="shared" ref="F81:F93" si="9">E$2*D81</f>
        <v>35285.020283509693</v>
      </c>
      <c r="G81" s="1035">
        <f t="shared" ref="G81:G93" si="10">F81+E81</f>
        <v>35285.020283509693</v>
      </c>
      <c r="K81" s="1009"/>
      <c r="L81" s="1009"/>
    </row>
    <row r="82" spans="1:12" x14ac:dyDescent="0.2">
      <c r="A82" s="9" t="s">
        <v>68</v>
      </c>
      <c r="B82" s="10">
        <v>4608</v>
      </c>
      <c r="C82" s="1011">
        <f>SUMIF('2015 Factor % to units'!B:B,B82,'2015 Factor % to units'!AO:AO)</f>
        <v>0</v>
      </c>
      <c r="D82" s="1011">
        <f>SUMIF('2015 Factor % to units'!B:B,B82,'2015 Factor % to units'!AP:AP)</f>
        <v>12.99999999999998</v>
      </c>
      <c r="E82" s="23">
        <f t="shared" si="8"/>
        <v>0</v>
      </c>
      <c r="F82" s="1009">
        <f t="shared" si="9"/>
        <v>32665.824099999947</v>
      </c>
      <c r="G82" s="1035">
        <f t="shared" si="10"/>
        <v>32665.824099999947</v>
      </c>
      <c r="K82" s="1009"/>
      <c r="L82" s="1009"/>
    </row>
    <row r="83" spans="1:12" x14ac:dyDescent="0.2">
      <c r="A83" s="9" t="s">
        <v>111</v>
      </c>
      <c r="B83" s="10">
        <v>4178</v>
      </c>
      <c r="C83" s="1011">
        <f>SUMIF('2015 Factor % to units'!B:B,B83,'2015 Factor % to units'!AO:AO)</f>
        <v>0</v>
      </c>
      <c r="D83" s="1011">
        <f>SUMIF('2015 Factor % to units'!B:B,B83,'2015 Factor % to units'!AP:AP)</f>
        <v>48.295384615384584</v>
      </c>
      <c r="E83" s="23">
        <f t="shared" si="8"/>
        <v>0</v>
      </c>
      <c r="F83" s="1009">
        <f t="shared" si="9"/>
        <v>121354.5029759999</v>
      </c>
      <c r="G83" s="1035">
        <f t="shared" si="10"/>
        <v>121354.5029759999</v>
      </c>
      <c r="K83" s="1009"/>
      <c r="L83" s="1009"/>
    </row>
    <row r="84" spans="1:12" x14ac:dyDescent="0.2">
      <c r="A84" s="9" t="s">
        <v>69</v>
      </c>
      <c r="B84" s="10">
        <v>4181</v>
      </c>
      <c r="C84" s="1011">
        <f>SUMIF('2015 Factor % to units'!B:B,B84,'2015 Factor % to units'!AO:AO)</f>
        <v>0</v>
      </c>
      <c r="D84" s="1011">
        <f>SUMIF('2015 Factor % to units'!B:B,B84,'2015 Factor % to units'!AP:AP)</f>
        <v>3.9443413729128038</v>
      </c>
      <c r="E84" s="23">
        <f t="shared" si="8"/>
        <v>0</v>
      </c>
      <c r="F84" s="1009">
        <f t="shared" si="9"/>
        <v>9911.1662675324715</v>
      </c>
      <c r="G84" s="1035">
        <f t="shared" si="10"/>
        <v>9911.1662675324715</v>
      </c>
      <c r="K84" s="1009"/>
      <c r="L84" s="1009"/>
    </row>
    <row r="85" spans="1:12" x14ac:dyDescent="0.2">
      <c r="A85" s="9" t="s">
        <v>70</v>
      </c>
      <c r="B85" s="10">
        <v>4182</v>
      </c>
      <c r="C85" s="1011">
        <f>SUMIF('2015 Factor % to units'!B:B,B85,'2015 Factor % to units'!AO:AO)</f>
        <v>0</v>
      </c>
      <c r="D85" s="1011">
        <f>SUMIF('2015 Factor % to units'!B:B,B85,'2015 Factor % to units'!AP:AP)</f>
        <v>30.107681263460179</v>
      </c>
      <c r="E85" s="23">
        <f t="shared" si="8"/>
        <v>0</v>
      </c>
      <c r="F85" s="1009">
        <f t="shared" si="9"/>
        <v>75653.247708542753</v>
      </c>
      <c r="G85" s="1035">
        <f t="shared" si="10"/>
        <v>75653.247708542753</v>
      </c>
      <c r="K85" s="1009"/>
      <c r="L85" s="1009"/>
    </row>
    <row r="86" spans="1:12" x14ac:dyDescent="0.2">
      <c r="A86" s="9" t="s">
        <v>71</v>
      </c>
      <c r="B86" s="28">
        <v>4001</v>
      </c>
      <c r="C86" s="1011">
        <f>SUMIF('2015 Factor % to units'!B:B,B86,'2015 Factor % to units'!AO:AO)</f>
        <v>0</v>
      </c>
      <c r="D86" s="1011">
        <f>SUMIF('2015 Factor % to units'!B:B,B86,'2015 Factor % to units'!AP:AP)</f>
        <v>60.247252747252737</v>
      </c>
      <c r="E86" s="23">
        <f t="shared" si="8"/>
        <v>0</v>
      </c>
      <c r="F86" s="1009">
        <f t="shared" si="9"/>
        <v>151386.62774999996</v>
      </c>
      <c r="G86" s="1035">
        <f t="shared" si="10"/>
        <v>151386.62774999996</v>
      </c>
      <c r="K86" s="1009"/>
      <c r="L86" s="1009"/>
    </row>
    <row r="87" spans="1:12" x14ac:dyDescent="0.2">
      <c r="A87" s="9" t="s">
        <v>112</v>
      </c>
      <c r="B87" s="10">
        <v>5406</v>
      </c>
      <c r="C87" s="1011">
        <f>SUMIF('2015 Factor % to units'!B:B,B87,'2015 Factor % to units'!AO:AO)</f>
        <v>0</v>
      </c>
      <c r="D87" s="1011">
        <f>SUMIF('2015 Factor % to units'!B:B,B87,'2015 Factor % to units'!AP:AP)</f>
        <v>31.182352941176458</v>
      </c>
      <c r="E87" s="23">
        <f t="shared" si="8"/>
        <v>0</v>
      </c>
      <c r="F87" s="1009">
        <f t="shared" si="9"/>
        <v>78353.635092352895</v>
      </c>
      <c r="G87" s="1035">
        <f t="shared" si="10"/>
        <v>78353.635092352895</v>
      </c>
      <c r="K87" s="1009"/>
      <c r="L87" s="1009"/>
    </row>
    <row r="88" spans="1:12" x14ac:dyDescent="0.2">
      <c r="A88" s="9" t="s">
        <v>113</v>
      </c>
      <c r="B88" s="10">
        <v>5407</v>
      </c>
      <c r="C88" s="1011">
        <f>SUMIF('2015 Factor % to units'!B:B,B88,'2015 Factor % to units'!AO:AO)</f>
        <v>0</v>
      </c>
      <c r="D88" s="1011">
        <f>SUMIF('2015 Factor % to units'!B:B,B88,'2015 Factor % to units'!AP:AP)</f>
        <v>25.000000000000025</v>
      </c>
      <c r="E88" s="23">
        <f t="shared" si="8"/>
        <v>0</v>
      </c>
      <c r="F88" s="1009">
        <f t="shared" si="9"/>
        <v>62818.892500000053</v>
      </c>
      <c r="G88" s="1035">
        <f t="shared" si="10"/>
        <v>62818.892500000053</v>
      </c>
      <c r="K88" s="1009"/>
      <c r="L88" s="1009"/>
    </row>
    <row r="89" spans="1:12" x14ac:dyDescent="0.2">
      <c r="A89" s="9" t="s">
        <v>72</v>
      </c>
      <c r="B89" s="10">
        <v>4607</v>
      </c>
      <c r="C89" s="1011">
        <f>SUMIF('2015 Factor % to units'!B:B,B89,'2015 Factor % to units'!AO:AO)</f>
        <v>0</v>
      </c>
      <c r="D89" s="1011">
        <f>SUMIF('2015 Factor % to units'!B:B,B89,'2015 Factor % to units'!AP:AP)</f>
        <v>46.112446351931354</v>
      </c>
      <c r="E89" s="23">
        <f t="shared" si="8"/>
        <v>0</v>
      </c>
      <c r="F89" s="1009">
        <f t="shared" si="9"/>
        <v>115869.3124117597</v>
      </c>
      <c r="G89" s="1035">
        <f t="shared" si="10"/>
        <v>115869.3124117597</v>
      </c>
      <c r="K89" s="1009"/>
      <c r="L89" s="1009"/>
    </row>
    <row r="90" spans="1:12" x14ac:dyDescent="0.2">
      <c r="A90" s="9" t="s">
        <v>1046</v>
      </c>
      <c r="B90" s="28">
        <v>4002</v>
      </c>
      <c r="C90" s="1011">
        <f>SUMIF('2015 Factor % to units'!B:B,B90,'2015 Factor % to units'!AO:AO)</f>
        <v>0</v>
      </c>
      <c r="D90" s="1011">
        <f>SUMIF('2015 Factor % to units'!B:B,B90,'2015 Factor % to units'!AP:AP)</f>
        <v>78.999999999999872</v>
      </c>
      <c r="E90" s="23">
        <f t="shared" si="8"/>
        <v>0</v>
      </c>
      <c r="F90" s="1009">
        <f t="shared" si="9"/>
        <v>198507.70029999965</v>
      </c>
      <c r="G90" s="1035">
        <f t="shared" si="10"/>
        <v>198507.70029999965</v>
      </c>
      <c r="K90" s="1009"/>
      <c r="L90" s="1009"/>
    </row>
    <row r="91" spans="1:12" x14ac:dyDescent="0.2">
      <c r="A91" s="9" t="s">
        <v>74</v>
      </c>
      <c r="B91" s="10">
        <v>5412</v>
      </c>
      <c r="C91" s="1011">
        <f>SUMIF('2015 Factor % to units'!B:B,B91,'2015 Factor % to units'!AO:AO)</f>
        <v>0</v>
      </c>
      <c r="D91" s="1011">
        <f>SUMIF('2015 Factor % to units'!B:B,B91,'2015 Factor % to units'!AP:AP)</f>
        <v>5.0079681274900398</v>
      </c>
      <c r="E91" s="23">
        <f t="shared" si="8"/>
        <v>0</v>
      </c>
      <c r="F91" s="1009">
        <f t="shared" si="9"/>
        <v>12583.800457768923</v>
      </c>
      <c r="G91" s="1035">
        <f t="shared" si="10"/>
        <v>12583.800457768923</v>
      </c>
      <c r="K91" s="1009"/>
      <c r="L91" s="1009"/>
    </row>
    <row r="92" spans="1:12" x14ac:dyDescent="0.2">
      <c r="A92" s="9" t="s">
        <v>73</v>
      </c>
      <c r="B92" s="10">
        <v>5414</v>
      </c>
      <c r="C92" s="1011">
        <f>SUMIF('2015 Factor % to units'!B:B,B92,'2015 Factor % to units'!AO:AO)</f>
        <v>0</v>
      </c>
      <c r="D92" s="1011">
        <f>SUMIF('2015 Factor % to units'!B:B,B92,'2015 Factor % to units'!AP:AP)</f>
        <v>22.781160799238837</v>
      </c>
      <c r="E92" s="23">
        <f t="shared" si="8"/>
        <v>0</v>
      </c>
      <c r="F92" s="1009">
        <f t="shared" si="9"/>
        <v>57243.491650903939</v>
      </c>
      <c r="G92" s="1035">
        <f t="shared" si="10"/>
        <v>57243.491650903939</v>
      </c>
      <c r="K92" s="1009"/>
      <c r="L92" s="1009"/>
    </row>
    <row r="93" spans="1:12" x14ac:dyDescent="0.2">
      <c r="A93" s="9" t="s">
        <v>597</v>
      </c>
      <c r="B93" s="10">
        <v>6905</v>
      </c>
      <c r="C93" s="1011">
        <f>SUMIF('2015 Factor % to units'!B:B,B93,'2015 Factor % to units'!AO:AO)</f>
        <v>0</v>
      </c>
      <c r="D93" s="1011">
        <f>SUMIF('2015 Factor % to units'!B:B,B93,'2015 Factor % to units'!AP:AP)</f>
        <v>16.999999999999975</v>
      </c>
      <c r="E93" s="23">
        <f t="shared" si="8"/>
        <v>0</v>
      </c>
      <c r="F93" s="1009">
        <f t="shared" si="9"/>
        <v>42716.846899999931</v>
      </c>
      <c r="G93" s="1035">
        <f t="shared" si="10"/>
        <v>42716.846899999931</v>
      </c>
      <c r="K93" s="1009"/>
      <c r="L93" s="1009"/>
    </row>
    <row r="94" spans="1:12" x14ac:dyDescent="0.2">
      <c r="A94" s="9"/>
      <c r="B94" s="10"/>
      <c r="C94" s="1011"/>
      <c r="D94" s="1011"/>
      <c r="E94" s="23"/>
      <c r="F94" s="1009"/>
      <c r="G94" s="1036"/>
      <c r="K94" s="1009"/>
      <c r="L94" s="1009"/>
    </row>
    <row r="95" spans="1:12" x14ac:dyDescent="0.2">
      <c r="A95" s="1" t="s">
        <v>115</v>
      </c>
      <c r="B95" s="1" t="s">
        <v>115</v>
      </c>
      <c r="C95" s="1031">
        <f>SUM(C81:C93)</f>
        <v>0</v>
      </c>
      <c r="D95" s="1031">
        <f>SUM(D81:D93)</f>
        <v>395.72094827936115</v>
      </c>
      <c r="E95" s="1031">
        <f>SUM(E81:E93)</f>
        <v>0</v>
      </c>
      <c r="F95" s="1040">
        <f>SUM(F81:F93)</f>
        <v>994350.06839836994</v>
      </c>
      <c r="G95" s="1040">
        <f>SUM(G81:G93)</f>
        <v>994350.06839836994</v>
      </c>
      <c r="K95" s="1019"/>
      <c r="L95" s="1019"/>
    </row>
    <row r="96" spans="1:12" x14ac:dyDescent="0.2">
      <c r="A96" s="1"/>
      <c r="B96" s="1"/>
      <c r="C96" s="1031"/>
      <c r="D96" s="1031"/>
      <c r="E96" s="1031"/>
      <c r="F96" s="1040"/>
      <c r="G96" s="1040"/>
      <c r="K96" s="1019"/>
      <c r="L96" s="1019"/>
    </row>
    <row r="97" spans="1:12" x14ac:dyDescent="0.2">
      <c r="A97" s="9" t="s">
        <v>114</v>
      </c>
      <c r="B97" s="10">
        <v>4177</v>
      </c>
      <c r="C97" s="1011">
        <f>SUMIF('2015 Factor % to units'!B:B,B97,'2015 Factor % to units'!AO:AO)</f>
        <v>72.1875</v>
      </c>
      <c r="D97" s="1011">
        <f>SUMIF('2015 Factor % to units'!B:B,B97,'2015 Factor % to units'!AP:AP)</f>
        <v>139.47880690737821</v>
      </c>
      <c r="E97" s="23">
        <f t="shared" ref="E97" si="11">E$1*C97</f>
        <v>61773.283687499999</v>
      </c>
      <c r="F97" s="1009">
        <f t="shared" ref="F97" si="12">E$2*D97</f>
        <v>350476.16708571394</v>
      </c>
      <c r="G97" s="1035">
        <f t="shared" ref="G97" si="13">F97+E97</f>
        <v>412249.45077321393</v>
      </c>
      <c r="K97" s="1019"/>
      <c r="L97" s="1019"/>
    </row>
    <row r="98" spans="1:12" x14ac:dyDescent="0.2">
      <c r="A98" s="1"/>
      <c r="B98" s="1"/>
      <c r="C98" s="1031"/>
      <c r="D98" s="1031"/>
      <c r="E98" s="1031"/>
      <c r="F98" s="1040"/>
      <c r="G98" s="1040"/>
      <c r="K98" s="1019"/>
      <c r="L98" s="1019"/>
    </row>
    <row r="99" spans="1:12" x14ac:dyDescent="0.2">
      <c r="A99" s="1" t="s">
        <v>914</v>
      </c>
      <c r="B99" s="1" t="s">
        <v>915</v>
      </c>
      <c r="C99" s="1031">
        <f>C97</f>
        <v>72.1875</v>
      </c>
      <c r="D99" s="1031">
        <f>D97</f>
        <v>139.47880690737821</v>
      </c>
      <c r="E99" s="1031">
        <f>E97</f>
        <v>61773.283687499999</v>
      </c>
      <c r="F99" s="1040">
        <f>F97</f>
        <v>350476.16708571394</v>
      </c>
      <c r="G99" s="1040">
        <f>G97</f>
        <v>412249.45077321393</v>
      </c>
      <c r="K99" s="1019"/>
      <c r="L99" s="1019"/>
    </row>
    <row r="100" spans="1:12" x14ac:dyDescent="0.2">
      <c r="A100" s="9"/>
      <c r="B100" s="10"/>
      <c r="C100" s="1030"/>
      <c r="D100" s="1030"/>
      <c r="E100" s="1026"/>
      <c r="F100" s="1036"/>
      <c r="G100" s="1036"/>
      <c r="K100" s="1036"/>
      <c r="L100" s="1036"/>
    </row>
    <row r="101" spans="1:12" x14ac:dyDescent="0.2">
      <c r="A101" s="1" t="s">
        <v>116</v>
      </c>
      <c r="B101" s="1" t="s">
        <v>117</v>
      </c>
      <c r="C101" s="1031">
        <f>C95+C79+C99</f>
        <v>3413.4444614161489</v>
      </c>
      <c r="D101" s="1031">
        <f>D95+D79+D99</f>
        <v>535.19975518673937</v>
      </c>
      <c r="E101" s="1031">
        <f>E95+E79+E99</f>
        <v>2920999.8000565949</v>
      </c>
      <c r="F101" s="1040">
        <f>F95+F79+F99</f>
        <v>1344826.2354840839</v>
      </c>
      <c r="G101" s="1040">
        <f>G95+G79+G99</f>
        <v>4265826.0355406785</v>
      </c>
      <c r="K101" s="1019"/>
      <c r="L101" s="1019"/>
    </row>
    <row r="102" spans="1:12" x14ac:dyDescent="0.2">
      <c r="B102" t="s">
        <v>1061</v>
      </c>
      <c r="C102" s="21">
        <f>'2015 Factor % to units'!AO93</f>
        <v>3413.4444614161484</v>
      </c>
      <c r="D102" s="21">
        <f>'2015 Factor % to units'!AP93</f>
        <v>535.19975518673937</v>
      </c>
    </row>
    <row r="103" spans="1:12" x14ac:dyDescent="0.2">
      <c r="B103" s="1" t="s">
        <v>934</v>
      </c>
      <c r="C103" s="21">
        <f>C102-C101</f>
        <v>0</v>
      </c>
      <c r="D103" s="21">
        <f>D102-D101</f>
        <v>0</v>
      </c>
    </row>
    <row r="105" spans="1:12" x14ac:dyDescent="0.2">
      <c r="A105" t="s">
        <v>1070</v>
      </c>
      <c r="E105" s="21">
        <f>E101-E77-E21</f>
        <v>2771718.8191817268</v>
      </c>
      <c r="F105" s="17">
        <f>F101-F77-F21</f>
        <v>1344826.2354840839</v>
      </c>
    </row>
    <row r="106" spans="1:12" x14ac:dyDescent="0.2">
      <c r="E106" s="30" t="s">
        <v>1058</v>
      </c>
      <c r="F106" t="s">
        <v>1058</v>
      </c>
    </row>
    <row r="111" spans="1:12" x14ac:dyDescent="0.2">
      <c r="A111" s="79" t="s">
        <v>249</v>
      </c>
      <c r="B111" s="79">
        <v>206189</v>
      </c>
    </row>
    <row r="112" spans="1:12" x14ac:dyDescent="0.2">
      <c r="A112" s="1158" t="s">
        <v>10</v>
      </c>
      <c r="B112" s="94">
        <v>2012</v>
      </c>
    </row>
    <row r="113" spans="1:2" x14ac:dyDescent="0.2">
      <c r="A113" s="1158" t="s">
        <v>73</v>
      </c>
      <c r="B113" s="94">
        <v>5414</v>
      </c>
    </row>
    <row r="114" spans="1:2" x14ac:dyDescent="0.2">
      <c r="A114" s="1158" t="s">
        <v>912</v>
      </c>
      <c r="B114" s="94">
        <v>4000</v>
      </c>
    </row>
    <row r="115" spans="1:2" x14ac:dyDescent="0.2">
      <c r="A115" s="79" t="s">
        <v>11</v>
      </c>
      <c r="B115" s="79">
        <v>2443</v>
      </c>
    </row>
    <row r="116" spans="1:2" x14ac:dyDescent="0.2">
      <c r="A116" s="1158" t="s">
        <v>94</v>
      </c>
      <c r="B116" s="94">
        <v>2442</v>
      </c>
    </row>
    <row r="117" spans="1:2" x14ac:dyDescent="0.2">
      <c r="A117" s="80" t="s">
        <v>252</v>
      </c>
      <c r="B117" s="80" t="s">
        <v>253</v>
      </c>
    </row>
    <row r="118" spans="1:2" x14ac:dyDescent="0.2">
      <c r="A118" s="79" t="s">
        <v>13</v>
      </c>
      <c r="B118" s="79">
        <v>2629</v>
      </c>
    </row>
    <row r="119" spans="1:2" x14ac:dyDescent="0.2">
      <c r="A119" s="1158" t="s">
        <v>14</v>
      </c>
      <c r="B119" s="94">
        <v>2509</v>
      </c>
    </row>
    <row r="120" spans="1:2" x14ac:dyDescent="0.2">
      <c r="A120" s="79" t="s">
        <v>2</v>
      </c>
      <c r="B120" s="79">
        <v>1014</v>
      </c>
    </row>
    <row r="121" spans="1:2" x14ac:dyDescent="0.2">
      <c r="A121" s="1158" t="s">
        <v>15</v>
      </c>
      <c r="B121" s="94">
        <v>2005</v>
      </c>
    </row>
    <row r="122" spans="1:2" x14ac:dyDescent="0.2">
      <c r="A122" s="79" t="s">
        <v>16</v>
      </c>
      <c r="B122" s="79">
        <v>2464</v>
      </c>
    </row>
    <row r="123" spans="1:2" x14ac:dyDescent="0.2">
      <c r="A123" s="661" t="s">
        <v>763</v>
      </c>
      <c r="B123" s="697" t="s">
        <v>765</v>
      </c>
    </row>
    <row r="124" spans="1:2" x14ac:dyDescent="0.2">
      <c r="A124" s="79" t="s">
        <v>17</v>
      </c>
      <c r="B124" s="79">
        <v>2004</v>
      </c>
    </row>
    <row r="125" spans="1:2" x14ac:dyDescent="0.2">
      <c r="A125" s="79" t="s">
        <v>18</v>
      </c>
      <c r="B125" s="79">
        <v>2405</v>
      </c>
    </row>
    <row r="126" spans="1:2" x14ac:dyDescent="0.2">
      <c r="A126" s="79" t="s">
        <v>254</v>
      </c>
      <c r="B126" s="79" t="s">
        <v>256</v>
      </c>
    </row>
    <row r="127" spans="1:2" ht="15" x14ac:dyDescent="0.25">
      <c r="A127" s="1160" t="s">
        <v>261</v>
      </c>
      <c r="B127" s="1162" t="s">
        <v>766</v>
      </c>
    </row>
    <row r="128" spans="1:2" x14ac:dyDescent="0.2">
      <c r="A128" s="1163" t="s">
        <v>257</v>
      </c>
      <c r="B128" s="1164" t="s">
        <v>258</v>
      </c>
    </row>
    <row r="129" spans="1:2" x14ac:dyDescent="0.2">
      <c r="A129" s="1160" t="s">
        <v>259</v>
      </c>
      <c r="B129" s="1165" t="s">
        <v>260</v>
      </c>
    </row>
    <row r="130" spans="1:2" x14ac:dyDescent="0.2">
      <c r="A130" s="79" t="s">
        <v>19</v>
      </c>
      <c r="B130" s="79">
        <v>2011</v>
      </c>
    </row>
    <row r="131" spans="1:2" x14ac:dyDescent="0.2">
      <c r="A131" s="80" t="s">
        <v>262</v>
      </c>
      <c r="B131" s="80" t="s">
        <v>263</v>
      </c>
    </row>
    <row r="132" spans="1:2" x14ac:dyDescent="0.2">
      <c r="A132" s="79" t="s">
        <v>20</v>
      </c>
      <c r="B132" s="79">
        <v>5201</v>
      </c>
    </row>
    <row r="133" spans="1:2" x14ac:dyDescent="0.2">
      <c r="A133" s="79" t="s">
        <v>264</v>
      </c>
      <c r="B133" s="79">
        <v>206124</v>
      </c>
    </row>
    <row r="134" spans="1:2" x14ac:dyDescent="0.2">
      <c r="A134" s="79" t="s">
        <v>21</v>
      </c>
      <c r="B134" s="79">
        <v>2433</v>
      </c>
    </row>
    <row r="135" spans="1:2" x14ac:dyDescent="0.2">
      <c r="A135" s="1158" t="s">
        <v>22</v>
      </c>
      <c r="B135" s="94">
        <v>2432</v>
      </c>
    </row>
    <row r="136" spans="1:2" x14ac:dyDescent="0.2">
      <c r="A136" s="79" t="s">
        <v>267</v>
      </c>
      <c r="B136" s="79" t="s">
        <v>269</v>
      </c>
    </row>
    <row r="137" spans="1:2" x14ac:dyDescent="0.2">
      <c r="A137" s="79" t="s">
        <v>199</v>
      </c>
      <c r="B137" s="79">
        <v>2447</v>
      </c>
    </row>
    <row r="138" spans="1:2" x14ac:dyDescent="0.2">
      <c r="A138" s="79" t="s">
        <v>23</v>
      </c>
      <c r="B138" s="79">
        <v>2512</v>
      </c>
    </row>
    <row r="139" spans="1:2" x14ac:dyDescent="0.2">
      <c r="A139" s="79" t="s">
        <v>270</v>
      </c>
      <c r="B139" s="79">
        <v>206126</v>
      </c>
    </row>
    <row r="140" spans="1:2" x14ac:dyDescent="0.2">
      <c r="A140" s="79" t="s">
        <v>272</v>
      </c>
      <c r="B140" s="79">
        <v>206111</v>
      </c>
    </row>
    <row r="141" spans="1:2" x14ac:dyDescent="0.2">
      <c r="A141" s="79" t="s">
        <v>274</v>
      </c>
      <c r="B141" s="79">
        <v>206091</v>
      </c>
    </row>
    <row r="142" spans="1:2" x14ac:dyDescent="0.2">
      <c r="A142" s="79" t="s">
        <v>24</v>
      </c>
      <c r="B142" s="79">
        <v>2456</v>
      </c>
    </row>
    <row r="143" spans="1:2" x14ac:dyDescent="0.2">
      <c r="A143" s="79" t="s">
        <v>3</v>
      </c>
      <c r="B143" s="79">
        <v>1017</v>
      </c>
    </row>
    <row r="144" spans="1:2" x14ac:dyDescent="0.2">
      <c r="A144" s="79" t="s">
        <v>25</v>
      </c>
      <c r="B144" s="79">
        <v>2449</v>
      </c>
    </row>
    <row r="145" spans="1:2" x14ac:dyDescent="0.2">
      <c r="A145" s="1158" t="s">
        <v>26</v>
      </c>
      <c r="B145" s="79">
        <v>2448</v>
      </c>
    </row>
    <row r="146" spans="1:2" x14ac:dyDescent="0.2">
      <c r="A146" s="79" t="s">
        <v>4</v>
      </c>
      <c r="B146" s="79">
        <v>1006</v>
      </c>
    </row>
    <row r="147" spans="1:2" x14ac:dyDescent="0.2">
      <c r="A147" s="79" t="s">
        <v>27</v>
      </c>
      <c r="B147" s="79">
        <v>2467</v>
      </c>
    </row>
    <row r="148" spans="1:2" x14ac:dyDescent="0.2">
      <c r="A148" s="1158" t="s">
        <v>75</v>
      </c>
      <c r="B148" s="94">
        <v>5402</v>
      </c>
    </row>
    <row r="149" spans="1:2" x14ac:dyDescent="0.2">
      <c r="A149" s="1158" t="s">
        <v>28</v>
      </c>
      <c r="B149" s="94">
        <v>2455</v>
      </c>
    </row>
    <row r="150" spans="1:2" x14ac:dyDescent="0.2">
      <c r="A150" s="1158" t="s">
        <v>29</v>
      </c>
      <c r="B150" s="94">
        <v>5203</v>
      </c>
    </row>
    <row r="151" spans="1:2" x14ac:dyDescent="0.2">
      <c r="A151" s="107" t="s">
        <v>30</v>
      </c>
      <c r="B151" s="79">
        <v>2451</v>
      </c>
    </row>
    <row r="152" spans="1:2" x14ac:dyDescent="0.2">
      <c r="A152" s="80" t="s">
        <v>276</v>
      </c>
      <c r="B152" s="80" t="s">
        <v>277</v>
      </c>
    </row>
    <row r="153" spans="1:2" x14ac:dyDescent="0.2">
      <c r="A153" s="79" t="s">
        <v>278</v>
      </c>
      <c r="B153" s="79">
        <v>206128</v>
      </c>
    </row>
    <row r="154" spans="1:2" x14ac:dyDescent="0.2">
      <c r="A154" s="1158" t="s">
        <v>452</v>
      </c>
      <c r="B154" s="94">
        <v>4002</v>
      </c>
    </row>
    <row r="155" spans="1:2" x14ac:dyDescent="0.2">
      <c r="A155" s="456" t="s">
        <v>455</v>
      </c>
      <c r="B155" s="79">
        <v>2430</v>
      </c>
    </row>
    <row r="156" spans="1:2" x14ac:dyDescent="0.2">
      <c r="A156" s="1167" t="s">
        <v>768</v>
      </c>
      <c r="B156" s="1169" t="s">
        <v>769</v>
      </c>
    </row>
    <row r="157" spans="1:2" x14ac:dyDescent="0.2">
      <c r="A157" s="1158" t="s">
        <v>68</v>
      </c>
      <c r="B157" s="94">
        <v>4608</v>
      </c>
    </row>
    <row r="158" spans="1:2" x14ac:dyDescent="0.2">
      <c r="A158" s="1158" t="s">
        <v>31</v>
      </c>
      <c r="B158" s="94">
        <v>2409</v>
      </c>
    </row>
    <row r="159" spans="1:2" x14ac:dyDescent="0.2">
      <c r="A159" s="1170" t="s">
        <v>281</v>
      </c>
      <c r="B159" s="1168" t="s">
        <v>282</v>
      </c>
    </row>
    <row r="160" spans="1:2" x14ac:dyDescent="0.2">
      <c r="A160" s="1171" t="s">
        <v>1401</v>
      </c>
      <c r="B160" s="1173" t="s">
        <v>771</v>
      </c>
    </row>
    <row r="161" spans="1:2" x14ac:dyDescent="0.2">
      <c r="A161" s="1174" t="s">
        <v>539</v>
      </c>
      <c r="B161" s="96">
        <v>205921</v>
      </c>
    </row>
    <row r="162" spans="1:2" x14ac:dyDescent="0.2">
      <c r="A162" s="1171" t="s">
        <v>1372</v>
      </c>
      <c r="B162" s="1154" t="s">
        <v>776</v>
      </c>
    </row>
    <row r="163" spans="1:2" x14ac:dyDescent="0.2">
      <c r="A163" s="1174" t="s">
        <v>538</v>
      </c>
      <c r="B163" s="96">
        <v>205999</v>
      </c>
    </row>
    <row r="164" spans="1:2" x14ac:dyDescent="0.2">
      <c r="A164" s="96" t="s">
        <v>537</v>
      </c>
      <c r="B164" s="95" t="s">
        <v>283</v>
      </c>
    </row>
    <row r="165" spans="1:2" x14ac:dyDescent="0.2">
      <c r="A165" s="1171" t="s">
        <v>1373</v>
      </c>
      <c r="B165" s="1153">
        <v>206065</v>
      </c>
    </row>
    <row r="166" spans="1:2" x14ac:dyDescent="0.2">
      <c r="A166" s="1175" t="s">
        <v>1375</v>
      </c>
      <c r="B166" s="1154" t="s">
        <v>787</v>
      </c>
    </row>
    <row r="167" spans="1:2" x14ac:dyDescent="0.2">
      <c r="A167" s="456" t="s">
        <v>589</v>
      </c>
      <c r="B167" s="1176" t="s">
        <v>288</v>
      </c>
    </row>
    <row r="168" spans="1:2" x14ac:dyDescent="0.2">
      <c r="A168" s="1177" t="s">
        <v>540</v>
      </c>
      <c r="B168" s="96">
        <v>205922</v>
      </c>
    </row>
    <row r="169" spans="1:2" x14ac:dyDescent="0.2">
      <c r="A169" s="456" t="s">
        <v>587</v>
      </c>
      <c r="B169" s="1154" t="s">
        <v>784</v>
      </c>
    </row>
    <row r="170" spans="1:2" x14ac:dyDescent="0.2">
      <c r="A170" s="1171" t="s">
        <v>1374</v>
      </c>
      <c r="B170" s="1154" t="s">
        <v>781</v>
      </c>
    </row>
    <row r="171" spans="1:2" x14ac:dyDescent="0.2">
      <c r="A171" s="1171" t="s">
        <v>1376</v>
      </c>
      <c r="B171" s="1178">
        <v>205919</v>
      </c>
    </row>
    <row r="172" spans="1:2" x14ac:dyDescent="0.2">
      <c r="A172" s="96" t="s">
        <v>541</v>
      </c>
      <c r="B172" s="95" t="s">
        <v>287</v>
      </c>
    </row>
    <row r="173" spans="1:2" x14ac:dyDescent="0.2">
      <c r="A173" s="1171" t="s">
        <v>1377</v>
      </c>
      <c r="B173" s="1179" t="s">
        <v>791</v>
      </c>
    </row>
    <row r="174" spans="1:2" x14ac:dyDescent="0.2">
      <c r="A174" s="1171" t="s">
        <v>1378</v>
      </c>
      <c r="B174" s="1169" t="s">
        <v>793</v>
      </c>
    </row>
    <row r="175" spans="1:2" x14ac:dyDescent="0.2">
      <c r="A175" s="1180" t="s">
        <v>1380</v>
      </c>
      <c r="B175" s="1154" t="s">
        <v>796</v>
      </c>
    </row>
    <row r="176" spans="1:2" x14ac:dyDescent="0.2">
      <c r="A176" s="1181" t="s">
        <v>1379</v>
      </c>
      <c r="B176" s="697">
        <v>205849</v>
      </c>
    </row>
    <row r="177" spans="1:2" x14ac:dyDescent="0.2">
      <c r="A177" s="456" t="s">
        <v>594</v>
      </c>
      <c r="B177" s="1176" t="s">
        <v>284</v>
      </c>
    </row>
    <row r="178" spans="1:2" x14ac:dyDescent="0.2">
      <c r="A178" s="1182" t="s">
        <v>1381</v>
      </c>
      <c r="B178" s="1154" t="s">
        <v>798</v>
      </c>
    </row>
    <row r="179" spans="1:2" x14ac:dyDescent="0.2">
      <c r="A179" s="1183" t="s">
        <v>1385</v>
      </c>
      <c r="B179" s="1184">
        <v>205922</v>
      </c>
    </row>
    <row r="180" spans="1:2" x14ac:dyDescent="0.2">
      <c r="A180" s="1185" t="s">
        <v>1384</v>
      </c>
      <c r="B180" s="1179">
        <v>205881</v>
      </c>
    </row>
    <row r="181" spans="1:2" x14ac:dyDescent="0.2">
      <c r="A181" s="1186" t="s">
        <v>1382</v>
      </c>
      <c r="B181" s="1187" t="s">
        <v>801</v>
      </c>
    </row>
    <row r="182" spans="1:2" x14ac:dyDescent="0.2">
      <c r="A182" s="1174" t="s">
        <v>542</v>
      </c>
      <c r="B182" s="96" t="s">
        <v>289</v>
      </c>
    </row>
    <row r="183" spans="1:2" x14ac:dyDescent="0.2">
      <c r="A183" s="1171" t="s">
        <v>1383</v>
      </c>
      <c r="B183" s="1179" t="s">
        <v>806</v>
      </c>
    </row>
    <row r="184" spans="1:2" x14ac:dyDescent="0.2">
      <c r="A184" s="1185" t="s">
        <v>807</v>
      </c>
      <c r="B184" s="1179" t="s">
        <v>808</v>
      </c>
    </row>
    <row r="185" spans="1:2" x14ac:dyDescent="0.2">
      <c r="A185" s="1185" t="s">
        <v>1386</v>
      </c>
      <c r="B185" s="1189" t="s">
        <v>811</v>
      </c>
    </row>
    <row r="186" spans="1:2" x14ac:dyDescent="0.2">
      <c r="A186" s="1181" t="s">
        <v>543</v>
      </c>
      <c r="B186" s="96">
        <v>2</v>
      </c>
    </row>
    <row r="187" spans="1:2" x14ac:dyDescent="0.2">
      <c r="A187" s="1192" t="s">
        <v>1387</v>
      </c>
      <c r="B187" s="1150" t="s">
        <v>668</v>
      </c>
    </row>
    <row r="188" spans="1:2" x14ac:dyDescent="0.2">
      <c r="A188" s="693" t="s">
        <v>1388</v>
      </c>
      <c r="B188" s="1179" t="s">
        <v>686</v>
      </c>
    </row>
    <row r="189" spans="1:2" x14ac:dyDescent="0.2">
      <c r="A189" s="96" t="s">
        <v>544</v>
      </c>
      <c r="B189" s="1184">
        <v>205956</v>
      </c>
    </row>
    <row r="190" spans="1:2" x14ac:dyDescent="0.2">
      <c r="A190" s="702" t="s">
        <v>1389</v>
      </c>
      <c r="B190" s="1169">
        <v>260849</v>
      </c>
    </row>
    <row r="191" spans="1:2" x14ac:dyDescent="0.2">
      <c r="A191" s="693" t="s">
        <v>1390</v>
      </c>
      <c r="B191" s="1169" t="s">
        <v>818</v>
      </c>
    </row>
    <row r="192" spans="1:2" x14ac:dyDescent="0.2">
      <c r="A192" s="1193" t="s">
        <v>1391</v>
      </c>
      <c r="B192" s="1165" t="s">
        <v>291</v>
      </c>
    </row>
    <row r="193" spans="1:2" x14ac:dyDescent="0.2">
      <c r="A193" s="1145" t="s">
        <v>1392</v>
      </c>
      <c r="B193" s="1154" t="s">
        <v>821</v>
      </c>
    </row>
    <row r="194" spans="1:2" x14ac:dyDescent="0.2">
      <c r="A194" s="1142" t="s">
        <v>1394</v>
      </c>
      <c r="B194" s="1154" t="s">
        <v>825</v>
      </c>
    </row>
    <row r="195" spans="1:2" x14ac:dyDescent="0.2">
      <c r="A195" s="1142" t="s">
        <v>1393</v>
      </c>
      <c r="B195" s="1189" t="s">
        <v>823</v>
      </c>
    </row>
    <row r="196" spans="1:2" x14ac:dyDescent="0.2">
      <c r="A196" s="583" t="s">
        <v>1396</v>
      </c>
      <c r="B196" s="1154" t="s">
        <v>830</v>
      </c>
    </row>
    <row r="197" spans="1:2" x14ac:dyDescent="0.2">
      <c r="A197" s="1143" t="s">
        <v>1395</v>
      </c>
      <c r="B197" s="1154" t="s">
        <v>827</v>
      </c>
    </row>
    <row r="198" spans="1:2" x14ac:dyDescent="0.2">
      <c r="A198" s="1181" t="s">
        <v>591</v>
      </c>
      <c r="B198" s="95" t="s">
        <v>293</v>
      </c>
    </row>
    <row r="199" spans="1:2" x14ac:dyDescent="0.2">
      <c r="A199" s="1142" t="s">
        <v>1402</v>
      </c>
      <c r="B199" s="697" t="s">
        <v>833</v>
      </c>
    </row>
    <row r="200" spans="1:2" x14ac:dyDescent="0.2">
      <c r="A200" s="1142" t="s">
        <v>1403</v>
      </c>
      <c r="B200" s="1154" t="s">
        <v>835</v>
      </c>
    </row>
    <row r="201" spans="1:2" x14ac:dyDescent="0.2">
      <c r="A201" s="1174" t="s">
        <v>547</v>
      </c>
      <c r="B201" s="95" t="s">
        <v>295</v>
      </c>
    </row>
    <row r="202" spans="1:2" x14ac:dyDescent="0.2">
      <c r="A202" s="1148" t="s">
        <v>1397</v>
      </c>
      <c r="B202" s="1154">
        <v>206031</v>
      </c>
    </row>
    <row r="203" spans="1:2" x14ac:dyDescent="0.2">
      <c r="A203" s="1174" t="s">
        <v>546</v>
      </c>
      <c r="B203" s="95" t="s">
        <v>296</v>
      </c>
    </row>
    <row r="204" spans="1:2" x14ac:dyDescent="0.2">
      <c r="A204" s="96" t="s">
        <v>545</v>
      </c>
      <c r="B204" s="95" t="s">
        <v>294</v>
      </c>
    </row>
    <row r="205" spans="1:2" x14ac:dyDescent="0.2">
      <c r="A205" s="1143" t="s">
        <v>1398</v>
      </c>
      <c r="B205" s="1154" t="s">
        <v>840</v>
      </c>
    </row>
    <row r="206" spans="1:2" x14ac:dyDescent="0.2">
      <c r="A206" s="96" t="s">
        <v>1371</v>
      </c>
      <c r="B206" s="95" t="s">
        <v>298</v>
      </c>
    </row>
    <row r="207" spans="1:2" x14ac:dyDescent="0.2">
      <c r="A207" s="1143" t="s">
        <v>1407</v>
      </c>
      <c r="B207" s="1179" t="s">
        <v>844</v>
      </c>
    </row>
    <row r="208" spans="1:2" x14ac:dyDescent="0.2">
      <c r="A208" s="1181" t="s">
        <v>592</v>
      </c>
      <c r="B208" s="1184">
        <v>206043</v>
      </c>
    </row>
    <row r="209" spans="1:2" x14ac:dyDescent="0.2">
      <c r="A209" s="1177" t="s">
        <v>548</v>
      </c>
      <c r="B209" s="95" t="s">
        <v>299</v>
      </c>
    </row>
    <row r="210" spans="1:2" x14ac:dyDescent="0.2">
      <c r="A210" s="1194" t="s">
        <v>590</v>
      </c>
      <c r="B210" s="1195" t="s">
        <v>292</v>
      </c>
    </row>
    <row r="211" spans="1:2" x14ac:dyDescent="0.2">
      <c r="A211" s="1196" t="s">
        <v>593</v>
      </c>
      <c r="B211" s="1197" t="s">
        <v>297</v>
      </c>
    </row>
    <row r="212" spans="1:2" x14ac:dyDescent="0.2">
      <c r="A212" s="1143" t="s">
        <v>1406</v>
      </c>
      <c r="B212" s="1154">
        <v>206067</v>
      </c>
    </row>
    <row r="213" spans="1:2" ht="15" x14ac:dyDescent="0.2">
      <c r="A213" s="1177" t="s">
        <v>549</v>
      </c>
      <c r="B213" s="97" t="s">
        <v>300</v>
      </c>
    </row>
    <row r="214" spans="1:2" x14ac:dyDescent="0.2">
      <c r="A214" s="1190" t="s">
        <v>1400</v>
      </c>
      <c r="B214" s="1191" t="s">
        <v>290</v>
      </c>
    </row>
    <row r="215" spans="1:2" x14ac:dyDescent="0.2">
      <c r="A215" s="1198" t="s">
        <v>550</v>
      </c>
      <c r="B215" s="98" t="s">
        <v>301</v>
      </c>
    </row>
    <row r="216" spans="1:2" x14ac:dyDescent="0.2">
      <c r="A216" s="1147" t="s">
        <v>1404</v>
      </c>
      <c r="B216" s="1209" t="s">
        <v>854</v>
      </c>
    </row>
    <row r="217" spans="1:2" x14ac:dyDescent="0.2">
      <c r="A217" s="456" t="s">
        <v>595</v>
      </c>
      <c r="B217" s="1176" t="s">
        <v>285</v>
      </c>
    </row>
    <row r="218" spans="1:2" x14ac:dyDescent="0.2">
      <c r="A218" s="1147" t="s">
        <v>1405</v>
      </c>
      <c r="B218" s="1209" t="s">
        <v>856</v>
      </c>
    </row>
    <row r="219" spans="1:2" x14ac:dyDescent="0.2">
      <c r="A219" s="87" t="s">
        <v>302</v>
      </c>
      <c r="B219" s="88" t="s">
        <v>303</v>
      </c>
    </row>
    <row r="220" spans="1:2" x14ac:dyDescent="0.2">
      <c r="A220" s="79" t="s">
        <v>304</v>
      </c>
      <c r="B220" s="79" t="s">
        <v>306</v>
      </c>
    </row>
    <row r="221" spans="1:2" x14ac:dyDescent="0.2">
      <c r="A221" s="1144" t="s">
        <v>858</v>
      </c>
      <c r="B221" s="1169" t="s">
        <v>859</v>
      </c>
    </row>
    <row r="222" spans="1:2" x14ac:dyDescent="0.2">
      <c r="A222" s="1158" t="s">
        <v>111</v>
      </c>
      <c r="B222" s="94">
        <v>4178</v>
      </c>
    </row>
    <row r="223" spans="1:2" x14ac:dyDescent="0.2">
      <c r="A223" s="1158" t="s">
        <v>98</v>
      </c>
      <c r="B223" s="94">
        <v>3158</v>
      </c>
    </row>
    <row r="224" spans="1:2" x14ac:dyDescent="0.2">
      <c r="A224" s="79" t="s">
        <v>32</v>
      </c>
      <c r="B224" s="79">
        <v>2619</v>
      </c>
    </row>
    <row r="225" spans="1:2" x14ac:dyDescent="0.2">
      <c r="A225" s="1141" t="s">
        <v>860</v>
      </c>
      <c r="B225" s="1154" t="s">
        <v>861</v>
      </c>
    </row>
    <row r="226" spans="1:2" x14ac:dyDescent="0.2">
      <c r="A226" s="79" t="s">
        <v>307</v>
      </c>
      <c r="B226" s="80" t="s">
        <v>308</v>
      </c>
    </row>
    <row r="227" spans="1:2" x14ac:dyDescent="0.2">
      <c r="A227" s="79" t="s">
        <v>309</v>
      </c>
      <c r="B227" s="79">
        <v>258417</v>
      </c>
    </row>
    <row r="228" spans="1:2" x14ac:dyDescent="0.2">
      <c r="A228" s="79" t="s">
        <v>311</v>
      </c>
      <c r="B228" s="79" t="s">
        <v>313</v>
      </c>
    </row>
    <row r="229" spans="1:2" x14ac:dyDescent="0.2">
      <c r="A229" s="79" t="s">
        <v>314</v>
      </c>
      <c r="B229" s="79" t="s">
        <v>316</v>
      </c>
    </row>
    <row r="230" spans="1:2" x14ac:dyDescent="0.2">
      <c r="A230" s="79" t="s">
        <v>33</v>
      </c>
      <c r="B230" s="79">
        <v>2518</v>
      </c>
    </row>
    <row r="231" spans="1:2" x14ac:dyDescent="0.2">
      <c r="A231" s="1141" t="s">
        <v>862</v>
      </c>
      <c r="B231" s="1210" t="s">
        <v>863</v>
      </c>
    </row>
    <row r="232" spans="1:2" x14ac:dyDescent="0.2">
      <c r="A232" s="79" t="s">
        <v>317</v>
      </c>
      <c r="B232" s="79">
        <v>206106</v>
      </c>
    </row>
    <row r="233" spans="1:2" x14ac:dyDescent="0.2">
      <c r="A233" s="80" t="s">
        <v>319</v>
      </c>
      <c r="B233" s="80" t="s">
        <v>320</v>
      </c>
    </row>
    <row r="234" spans="1:2" x14ac:dyDescent="0.2">
      <c r="A234" s="1144" t="s">
        <v>864</v>
      </c>
      <c r="B234" s="1169" t="s">
        <v>865</v>
      </c>
    </row>
    <row r="235" spans="1:2" x14ac:dyDescent="0.2">
      <c r="A235" s="1158" t="s">
        <v>34</v>
      </c>
      <c r="B235" s="94">
        <v>2457</v>
      </c>
    </row>
    <row r="236" spans="1:2" x14ac:dyDescent="0.2">
      <c r="A236" s="1158" t="s">
        <v>99</v>
      </c>
      <c r="B236" s="79">
        <v>2010</v>
      </c>
    </row>
    <row r="237" spans="1:2" x14ac:dyDescent="0.2">
      <c r="A237" s="79" t="s">
        <v>35</v>
      </c>
      <c r="B237" s="79">
        <v>2002</v>
      </c>
    </row>
    <row r="238" spans="1:2" x14ac:dyDescent="0.2">
      <c r="A238" s="79" t="s">
        <v>36</v>
      </c>
      <c r="B238" s="79">
        <v>3544</v>
      </c>
    </row>
    <row r="239" spans="1:2" x14ac:dyDescent="0.2">
      <c r="A239" s="79" t="s">
        <v>5</v>
      </c>
      <c r="B239" s="79">
        <v>1008</v>
      </c>
    </row>
    <row r="240" spans="1:2" x14ac:dyDescent="0.2">
      <c r="A240" s="79" t="s">
        <v>321</v>
      </c>
      <c r="B240" s="79" t="s">
        <v>322</v>
      </c>
    </row>
    <row r="241" spans="1:2" x14ac:dyDescent="0.2">
      <c r="A241" s="79" t="s">
        <v>100</v>
      </c>
      <c r="B241" s="79">
        <v>2006</v>
      </c>
    </row>
    <row r="242" spans="1:2" x14ac:dyDescent="0.2">
      <c r="A242" s="80" t="s">
        <v>323</v>
      </c>
      <c r="B242" s="80" t="s">
        <v>324</v>
      </c>
    </row>
    <row r="243" spans="1:2" x14ac:dyDescent="0.2">
      <c r="A243" s="79" t="s">
        <v>325</v>
      </c>
      <c r="B243" s="79">
        <v>206133</v>
      </c>
    </row>
    <row r="244" spans="1:2" x14ac:dyDescent="0.2">
      <c r="A244" s="1149" t="s">
        <v>867</v>
      </c>
      <c r="B244" s="1169" t="s">
        <v>868</v>
      </c>
    </row>
    <row r="245" spans="1:2" x14ac:dyDescent="0.2">
      <c r="A245" s="79" t="s">
        <v>327</v>
      </c>
      <c r="B245" s="79" t="s">
        <v>329</v>
      </c>
    </row>
    <row r="246" spans="1:2" x14ac:dyDescent="0.2">
      <c r="A246" s="79" t="s">
        <v>330</v>
      </c>
      <c r="B246" s="79">
        <v>206134</v>
      </c>
    </row>
    <row r="247" spans="1:2" x14ac:dyDescent="0.2">
      <c r="A247" s="79" t="s">
        <v>334</v>
      </c>
      <c r="B247" s="79" t="s">
        <v>335</v>
      </c>
    </row>
    <row r="248" spans="1:2" x14ac:dyDescent="0.2">
      <c r="A248" s="1199" t="s">
        <v>332</v>
      </c>
      <c r="B248" s="1200" t="s">
        <v>333</v>
      </c>
    </row>
    <row r="249" spans="1:2" x14ac:dyDescent="0.2">
      <c r="A249" s="79" t="s">
        <v>336</v>
      </c>
      <c r="B249" s="79" t="s">
        <v>337</v>
      </c>
    </row>
    <row r="250" spans="1:2" x14ac:dyDescent="0.2">
      <c r="A250" s="79" t="s">
        <v>338</v>
      </c>
      <c r="B250" s="79">
        <v>206109</v>
      </c>
    </row>
    <row r="251" spans="1:2" x14ac:dyDescent="0.2">
      <c r="A251" s="79" t="s">
        <v>37</v>
      </c>
      <c r="B251" s="79">
        <v>2434</v>
      </c>
    </row>
    <row r="252" spans="1:2" x14ac:dyDescent="0.2">
      <c r="A252" s="1161" t="s">
        <v>597</v>
      </c>
      <c r="B252" s="147">
        <v>6905</v>
      </c>
    </row>
    <row r="253" spans="1:2" x14ac:dyDescent="0.2">
      <c r="A253" s="1158" t="s">
        <v>42</v>
      </c>
      <c r="B253" s="94">
        <v>2009</v>
      </c>
    </row>
    <row r="254" spans="1:2" x14ac:dyDescent="0.2">
      <c r="A254" s="1158" t="s">
        <v>38</v>
      </c>
      <c r="B254" s="94">
        <v>2522</v>
      </c>
    </row>
    <row r="255" spans="1:2" x14ac:dyDescent="0.2">
      <c r="A255" s="79" t="s">
        <v>340</v>
      </c>
      <c r="B255" s="79">
        <v>206110</v>
      </c>
    </row>
    <row r="256" spans="1:2" x14ac:dyDescent="0.2">
      <c r="A256" s="79" t="s">
        <v>342</v>
      </c>
      <c r="B256" s="79">
        <v>206135</v>
      </c>
    </row>
    <row r="257" spans="1:2" x14ac:dyDescent="0.2">
      <c r="A257" s="1158" t="s">
        <v>69</v>
      </c>
      <c r="B257" s="94">
        <v>4181</v>
      </c>
    </row>
    <row r="258" spans="1:2" x14ac:dyDescent="0.2">
      <c r="A258" s="79" t="s">
        <v>344</v>
      </c>
      <c r="B258" s="79">
        <v>509195</v>
      </c>
    </row>
    <row r="259" spans="1:2" x14ac:dyDescent="0.2">
      <c r="A259" s="87" t="s">
        <v>346</v>
      </c>
      <c r="B259" s="88" t="s">
        <v>347</v>
      </c>
    </row>
    <row r="260" spans="1:2" x14ac:dyDescent="0.2">
      <c r="A260" s="1201" t="s">
        <v>348</v>
      </c>
      <c r="B260" s="1202" t="s">
        <v>349</v>
      </c>
    </row>
    <row r="261" spans="1:2" x14ac:dyDescent="0.2">
      <c r="A261" s="79" t="s">
        <v>350</v>
      </c>
      <c r="B261" s="79" t="s">
        <v>352</v>
      </c>
    </row>
    <row r="262" spans="1:2" x14ac:dyDescent="0.2">
      <c r="A262" s="79" t="s">
        <v>353</v>
      </c>
      <c r="B262" s="79">
        <v>509199</v>
      </c>
    </row>
    <row r="263" spans="1:2" x14ac:dyDescent="0.2">
      <c r="A263" s="79" t="s">
        <v>355</v>
      </c>
      <c r="B263" s="79">
        <v>509197</v>
      </c>
    </row>
    <row r="264" spans="1:2" x14ac:dyDescent="0.2">
      <c r="A264" s="1151" t="s">
        <v>870</v>
      </c>
      <c r="B264" s="1211">
        <v>479383</v>
      </c>
    </row>
    <row r="265" spans="1:2" x14ac:dyDescent="0.2">
      <c r="A265" s="1170" t="s">
        <v>360</v>
      </c>
      <c r="B265" s="1168" t="s">
        <v>361</v>
      </c>
    </row>
    <row r="266" spans="1:2" x14ac:dyDescent="0.2">
      <c r="A266" s="1158" t="s">
        <v>70</v>
      </c>
      <c r="B266" s="94">
        <v>4182</v>
      </c>
    </row>
    <row r="267" spans="1:2" x14ac:dyDescent="0.2">
      <c r="A267" s="79" t="s">
        <v>357</v>
      </c>
      <c r="B267" s="79" t="s">
        <v>359</v>
      </c>
    </row>
    <row r="268" spans="1:2" x14ac:dyDescent="0.2">
      <c r="A268" s="79" t="s">
        <v>6</v>
      </c>
      <c r="B268" s="79">
        <v>1005</v>
      </c>
    </row>
    <row r="269" spans="1:2" x14ac:dyDescent="0.2">
      <c r="A269" s="489" t="s">
        <v>871</v>
      </c>
      <c r="B269" s="1179" t="s">
        <v>872</v>
      </c>
    </row>
    <row r="270" spans="1:2" x14ac:dyDescent="0.2">
      <c r="A270" s="1158" t="s">
        <v>39</v>
      </c>
      <c r="B270" s="94">
        <v>2436</v>
      </c>
    </row>
    <row r="271" spans="1:2" x14ac:dyDescent="0.2">
      <c r="A271" s="79" t="s">
        <v>362</v>
      </c>
      <c r="B271" s="79">
        <v>206117</v>
      </c>
    </row>
    <row r="272" spans="1:2" x14ac:dyDescent="0.2">
      <c r="A272" s="79" t="s">
        <v>40</v>
      </c>
      <c r="B272" s="79">
        <v>2452</v>
      </c>
    </row>
    <row r="273" spans="1:2" x14ac:dyDescent="0.2">
      <c r="A273" s="1158" t="s">
        <v>71</v>
      </c>
      <c r="B273" s="94">
        <v>4001</v>
      </c>
    </row>
    <row r="274" spans="1:2" x14ac:dyDescent="0.2">
      <c r="A274" s="79" t="s">
        <v>364</v>
      </c>
      <c r="B274" s="79">
        <v>206141</v>
      </c>
    </row>
    <row r="275" spans="1:2" x14ac:dyDescent="0.2">
      <c r="A275" s="1158" t="s">
        <v>41</v>
      </c>
      <c r="B275" s="94">
        <v>2627</v>
      </c>
    </row>
    <row r="276" spans="1:2" x14ac:dyDescent="0.2">
      <c r="A276" s="1158" t="s">
        <v>112</v>
      </c>
      <c r="B276" s="94">
        <v>5406</v>
      </c>
    </row>
    <row r="277" spans="1:2" x14ac:dyDescent="0.2">
      <c r="A277" s="1158" t="s">
        <v>113</v>
      </c>
      <c r="B277" s="94">
        <v>5407</v>
      </c>
    </row>
    <row r="278" spans="1:2" x14ac:dyDescent="0.2">
      <c r="A278" s="79" t="s">
        <v>366</v>
      </c>
      <c r="B278" s="79" t="s">
        <v>368</v>
      </c>
    </row>
    <row r="279" spans="1:2" x14ac:dyDescent="0.2">
      <c r="A279" s="79" t="s">
        <v>369</v>
      </c>
      <c r="B279" s="79">
        <v>258404</v>
      </c>
    </row>
    <row r="280" spans="1:2" x14ac:dyDescent="0.2">
      <c r="A280" s="1158" t="s">
        <v>101</v>
      </c>
      <c r="B280" s="79">
        <v>2473</v>
      </c>
    </row>
    <row r="281" spans="1:2" x14ac:dyDescent="0.2">
      <c r="A281" s="1158" t="s">
        <v>44</v>
      </c>
      <c r="B281" s="94">
        <v>2471</v>
      </c>
    </row>
    <row r="282" spans="1:2" x14ac:dyDescent="0.2">
      <c r="A282" s="79" t="s">
        <v>371</v>
      </c>
      <c r="B282" s="79">
        <v>258405</v>
      </c>
    </row>
    <row r="283" spans="1:2" x14ac:dyDescent="0.2">
      <c r="A283" s="79" t="s">
        <v>373</v>
      </c>
      <c r="B283" s="79">
        <v>258406</v>
      </c>
    </row>
    <row r="284" spans="1:2" x14ac:dyDescent="0.2">
      <c r="A284" s="79" t="s">
        <v>43</v>
      </c>
      <c r="B284" s="79">
        <v>2420</v>
      </c>
    </row>
    <row r="285" spans="1:2" x14ac:dyDescent="0.2">
      <c r="A285" s="79" t="s">
        <v>375</v>
      </c>
      <c r="B285" s="79">
        <v>206160</v>
      </c>
    </row>
    <row r="286" spans="1:2" x14ac:dyDescent="0.2">
      <c r="A286" s="79" t="s">
        <v>45</v>
      </c>
      <c r="B286" s="79">
        <v>2003</v>
      </c>
    </row>
    <row r="287" spans="1:2" x14ac:dyDescent="0.2">
      <c r="A287" s="1158" t="s">
        <v>46</v>
      </c>
      <c r="B287" s="94">
        <v>2423</v>
      </c>
    </row>
    <row r="288" spans="1:2" x14ac:dyDescent="0.2">
      <c r="A288" s="1158" t="s">
        <v>47</v>
      </c>
      <c r="B288" s="94">
        <v>2424</v>
      </c>
    </row>
    <row r="289" spans="1:2" x14ac:dyDescent="0.2">
      <c r="A289" s="79" t="s">
        <v>377</v>
      </c>
      <c r="B289" s="79" t="s">
        <v>379</v>
      </c>
    </row>
    <row r="290" spans="1:2" x14ac:dyDescent="0.2">
      <c r="A290" s="726" t="s">
        <v>873</v>
      </c>
      <c r="B290" s="1179" t="s">
        <v>874</v>
      </c>
    </row>
    <row r="291" spans="1:2" x14ac:dyDescent="0.2">
      <c r="A291" s="79" t="s">
        <v>382</v>
      </c>
      <c r="B291" s="79" t="s">
        <v>384</v>
      </c>
    </row>
    <row r="292" spans="1:2" x14ac:dyDescent="0.2">
      <c r="A292" s="79" t="s">
        <v>385</v>
      </c>
      <c r="B292" s="79">
        <v>206146</v>
      </c>
    </row>
    <row r="293" spans="1:2" x14ac:dyDescent="0.2">
      <c r="A293" s="1158" t="s">
        <v>48</v>
      </c>
      <c r="B293" s="94">
        <v>2439</v>
      </c>
    </row>
    <row r="294" spans="1:2" x14ac:dyDescent="0.2">
      <c r="A294" s="1158" t="s">
        <v>49</v>
      </c>
      <c r="B294" s="94">
        <v>2440</v>
      </c>
    </row>
    <row r="295" spans="1:2" x14ac:dyDescent="0.2">
      <c r="A295" s="80" t="s">
        <v>387</v>
      </c>
      <c r="B295" s="80" t="s">
        <v>388</v>
      </c>
    </row>
    <row r="296" spans="1:2" x14ac:dyDescent="0.2">
      <c r="A296" s="1158" t="s">
        <v>102</v>
      </c>
      <c r="B296" s="79">
        <v>2462</v>
      </c>
    </row>
    <row r="297" spans="1:2" x14ac:dyDescent="0.2">
      <c r="A297" s="1158" t="s">
        <v>50</v>
      </c>
      <c r="B297" s="94">
        <v>2463</v>
      </c>
    </row>
    <row r="298" spans="1:2" x14ac:dyDescent="0.2">
      <c r="A298" s="79" t="s">
        <v>51</v>
      </c>
      <c r="B298" s="79">
        <v>2505</v>
      </c>
    </row>
    <row r="299" spans="1:2" x14ac:dyDescent="0.2">
      <c r="A299" s="79" t="s">
        <v>52</v>
      </c>
      <c r="B299" s="79">
        <v>2000</v>
      </c>
    </row>
    <row r="300" spans="1:2" x14ac:dyDescent="0.2">
      <c r="A300" s="1158" t="s">
        <v>53</v>
      </c>
      <c r="B300" s="94">
        <v>2458</v>
      </c>
    </row>
    <row r="301" spans="1:2" x14ac:dyDescent="0.2">
      <c r="A301" s="79" t="s">
        <v>392</v>
      </c>
      <c r="B301" s="79" t="s">
        <v>394</v>
      </c>
    </row>
    <row r="302" spans="1:2" x14ac:dyDescent="0.2">
      <c r="A302" s="79" t="s">
        <v>54</v>
      </c>
      <c r="B302" s="79">
        <v>2001</v>
      </c>
    </row>
    <row r="303" spans="1:2" x14ac:dyDescent="0.2">
      <c r="A303" s="80" t="s">
        <v>395</v>
      </c>
      <c r="B303" s="80" t="s">
        <v>396</v>
      </c>
    </row>
    <row r="304" spans="1:2" x14ac:dyDescent="0.2">
      <c r="A304" s="79" t="s">
        <v>55</v>
      </c>
      <c r="B304" s="79">
        <v>2429</v>
      </c>
    </row>
    <row r="305" spans="1:2" x14ac:dyDescent="0.2">
      <c r="A305" s="79" t="s">
        <v>397</v>
      </c>
      <c r="B305" s="79">
        <v>113044</v>
      </c>
    </row>
    <row r="306" spans="1:2" x14ac:dyDescent="0.2">
      <c r="A306" s="79" t="s">
        <v>399</v>
      </c>
      <c r="B306" s="79" t="s">
        <v>401</v>
      </c>
    </row>
    <row r="307" spans="1:2" x14ac:dyDescent="0.2">
      <c r="A307" s="1158" t="s">
        <v>72</v>
      </c>
      <c r="B307" s="94">
        <v>4607</v>
      </c>
    </row>
    <row r="308" spans="1:2" x14ac:dyDescent="0.2">
      <c r="A308" s="665" t="s">
        <v>881</v>
      </c>
      <c r="B308" s="1169" t="s">
        <v>882</v>
      </c>
    </row>
    <row r="309" spans="1:2" x14ac:dyDescent="0.2">
      <c r="A309" s="726" t="s">
        <v>883</v>
      </c>
      <c r="B309" s="1154" t="s">
        <v>884</v>
      </c>
    </row>
    <row r="310" spans="1:2" x14ac:dyDescent="0.2">
      <c r="A310" s="79" t="s">
        <v>56</v>
      </c>
      <c r="B310" s="79">
        <v>2444</v>
      </c>
    </row>
    <row r="311" spans="1:2" x14ac:dyDescent="0.2">
      <c r="A311" s="1158" t="s">
        <v>57</v>
      </c>
      <c r="B311" s="94">
        <v>5209</v>
      </c>
    </row>
    <row r="312" spans="1:2" x14ac:dyDescent="0.2">
      <c r="A312" s="79" t="s">
        <v>402</v>
      </c>
      <c r="B312" s="79" t="s">
        <v>404</v>
      </c>
    </row>
    <row r="313" spans="1:2" x14ac:dyDescent="0.2">
      <c r="A313" s="79" t="s">
        <v>405</v>
      </c>
      <c r="B313" s="79" t="s">
        <v>407</v>
      </c>
    </row>
    <row r="314" spans="1:2" x14ac:dyDescent="0.2">
      <c r="A314" s="1158" t="s">
        <v>58</v>
      </c>
      <c r="B314" s="94">
        <v>2469</v>
      </c>
    </row>
    <row r="315" spans="1:2" x14ac:dyDescent="0.2">
      <c r="A315" s="79" t="s">
        <v>408</v>
      </c>
      <c r="B315" s="79" t="s">
        <v>410</v>
      </c>
    </row>
    <row r="316" spans="1:2" x14ac:dyDescent="0.2">
      <c r="A316" s="99" t="s">
        <v>411</v>
      </c>
      <c r="B316" s="99" t="s">
        <v>412</v>
      </c>
    </row>
    <row r="317" spans="1:2" x14ac:dyDescent="0.2">
      <c r="A317" s="1158" t="s">
        <v>59</v>
      </c>
      <c r="B317" s="94">
        <v>2466</v>
      </c>
    </row>
    <row r="318" spans="1:2" x14ac:dyDescent="0.2">
      <c r="A318" s="79" t="s">
        <v>60</v>
      </c>
      <c r="B318" s="79">
        <v>3543</v>
      </c>
    </row>
    <row r="319" spans="1:2" x14ac:dyDescent="0.2">
      <c r="A319" s="79" t="s">
        <v>413</v>
      </c>
      <c r="B319" s="79">
        <v>206152</v>
      </c>
    </row>
    <row r="320" spans="1:2" x14ac:dyDescent="0.2">
      <c r="A320" s="79" t="s">
        <v>415</v>
      </c>
      <c r="B320" s="79">
        <v>206153</v>
      </c>
    </row>
    <row r="321" spans="1:2" x14ac:dyDescent="0.2">
      <c r="A321" s="1158" t="s">
        <v>62</v>
      </c>
      <c r="B321" s="94">
        <v>3531</v>
      </c>
    </row>
    <row r="322" spans="1:2" x14ac:dyDescent="0.2">
      <c r="A322" s="79" t="s">
        <v>63</v>
      </c>
      <c r="B322" s="79">
        <v>3526</v>
      </c>
    </row>
    <row r="323" spans="1:2" x14ac:dyDescent="0.2">
      <c r="A323" s="1158" t="s">
        <v>104</v>
      </c>
      <c r="B323" s="94">
        <v>3535</v>
      </c>
    </row>
    <row r="324" spans="1:2" x14ac:dyDescent="0.2">
      <c r="A324" s="1203" t="s">
        <v>64</v>
      </c>
      <c r="B324" s="94">
        <v>2008</v>
      </c>
    </row>
    <row r="325" spans="1:2" x14ac:dyDescent="0.2">
      <c r="A325" s="1158" t="s">
        <v>105</v>
      </c>
      <c r="B325" s="94">
        <v>3542</v>
      </c>
    </row>
    <row r="326" spans="1:2" x14ac:dyDescent="0.2">
      <c r="A326" s="90" t="s">
        <v>417</v>
      </c>
      <c r="B326" s="79">
        <v>206154</v>
      </c>
    </row>
    <row r="327" spans="1:2" x14ac:dyDescent="0.2">
      <c r="A327" s="1158" t="s">
        <v>106</v>
      </c>
      <c r="B327" s="79">
        <v>3528</v>
      </c>
    </row>
    <row r="328" spans="1:2" x14ac:dyDescent="0.2">
      <c r="A328" s="80" t="s">
        <v>419</v>
      </c>
      <c r="B328" s="80" t="s">
        <v>420</v>
      </c>
    </row>
    <row r="329" spans="1:2" x14ac:dyDescent="0.2">
      <c r="A329" s="1158" t="s">
        <v>107</v>
      </c>
      <c r="B329" s="94">
        <v>3534</v>
      </c>
    </row>
    <row r="330" spans="1:2" x14ac:dyDescent="0.2">
      <c r="A330" s="1158" t="s">
        <v>108</v>
      </c>
      <c r="B330" s="143">
        <v>3532</v>
      </c>
    </row>
    <row r="331" spans="1:2" x14ac:dyDescent="0.2">
      <c r="A331" s="107" t="s">
        <v>7</v>
      </c>
      <c r="B331" s="79">
        <v>1010</v>
      </c>
    </row>
    <row r="332" spans="1:2" x14ac:dyDescent="0.2">
      <c r="A332" s="107" t="s">
        <v>421</v>
      </c>
      <c r="B332" s="79" t="s">
        <v>423</v>
      </c>
    </row>
    <row r="333" spans="1:2" x14ac:dyDescent="0.2">
      <c r="A333" s="1158" t="s">
        <v>114</v>
      </c>
      <c r="B333" s="94">
        <v>4177</v>
      </c>
    </row>
    <row r="334" spans="1:2" x14ac:dyDescent="0.2">
      <c r="A334" s="79" t="s">
        <v>424</v>
      </c>
      <c r="B334" s="79" t="s">
        <v>426</v>
      </c>
    </row>
    <row r="335" spans="1:2" x14ac:dyDescent="0.2">
      <c r="A335" s="79" t="s">
        <v>427</v>
      </c>
      <c r="B335" s="79">
        <v>206103</v>
      </c>
    </row>
    <row r="336" spans="1:2" x14ac:dyDescent="0.2">
      <c r="A336" s="79" t="s">
        <v>428</v>
      </c>
      <c r="B336" s="79" t="s">
        <v>430</v>
      </c>
    </row>
    <row r="337" spans="1:2" x14ac:dyDescent="0.2">
      <c r="A337" s="79" t="s">
        <v>431</v>
      </c>
      <c r="B337" s="79" t="s">
        <v>433</v>
      </c>
    </row>
    <row r="338" spans="1:2" x14ac:dyDescent="0.2">
      <c r="A338" s="79" t="s">
        <v>434</v>
      </c>
      <c r="B338" s="79">
        <v>258420</v>
      </c>
    </row>
    <row r="339" spans="1:2" x14ac:dyDescent="0.2">
      <c r="A339" s="79" t="s">
        <v>436</v>
      </c>
      <c r="B339" s="79">
        <v>258424</v>
      </c>
    </row>
    <row r="340" spans="1:2" x14ac:dyDescent="0.2">
      <c r="A340" s="79" t="s">
        <v>438</v>
      </c>
      <c r="B340" s="79" t="s">
        <v>439</v>
      </c>
    </row>
    <row r="341" spans="1:2" x14ac:dyDescent="0.2">
      <c r="A341" s="142" t="s">
        <v>65</v>
      </c>
      <c r="B341" s="79">
        <v>3546</v>
      </c>
    </row>
    <row r="342" spans="1:2" x14ac:dyDescent="0.2">
      <c r="A342" s="140" t="s">
        <v>8</v>
      </c>
      <c r="B342" s="79">
        <v>1009</v>
      </c>
    </row>
    <row r="343" spans="1:2" x14ac:dyDescent="0.2">
      <c r="A343" s="142" t="s">
        <v>66</v>
      </c>
      <c r="B343" s="79">
        <v>3530</v>
      </c>
    </row>
    <row r="344" spans="1:2" x14ac:dyDescent="0.2">
      <c r="A344" s="1158" t="s">
        <v>74</v>
      </c>
      <c r="B344" s="94">
        <v>5412</v>
      </c>
    </row>
    <row r="345" spans="1:2" ht="15" x14ac:dyDescent="0.2">
      <c r="A345" s="146" t="s">
        <v>445</v>
      </c>
      <c r="B345" s="146" t="s">
        <v>446</v>
      </c>
    </row>
    <row r="346" spans="1:2" x14ac:dyDescent="0.2">
      <c r="A346" s="140" t="s">
        <v>440</v>
      </c>
      <c r="B346" s="144" t="s">
        <v>442</v>
      </c>
    </row>
    <row r="347" spans="1:2" x14ac:dyDescent="0.2">
      <c r="A347" s="79" t="s">
        <v>9</v>
      </c>
      <c r="B347" s="140">
        <v>1015</v>
      </c>
    </row>
    <row r="348" spans="1:2" x14ac:dyDescent="0.2">
      <c r="A348" s="141" t="s">
        <v>443</v>
      </c>
      <c r="B348" s="145" t="s">
        <v>444</v>
      </c>
    </row>
    <row r="349" spans="1:2" x14ac:dyDescent="0.2">
      <c r="A349" s="142" t="s">
        <v>447</v>
      </c>
      <c r="B349" s="79">
        <v>509204</v>
      </c>
    </row>
    <row r="350" spans="1:2" x14ac:dyDescent="0.2">
      <c r="A350" s="1206" t="s">
        <v>67</v>
      </c>
      <c r="B350" s="143">
        <v>2459</v>
      </c>
    </row>
    <row r="351" spans="1:2" x14ac:dyDescent="0.2">
      <c r="A351" s="79" t="s">
        <v>96</v>
      </c>
      <c r="B351" s="79">
        <v>2007</v>
      </c>
    </row>
  </sheetData>
  <sheetProtection password="EF5C"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68"/>
  <sheetViews>
    <sheetView workbookViewId="0">
      <pane xSplit="2" ySplit="6" topLeftCell="J7" activePane="bottomRight" state="frozen"/>
      <selection activeCell="D102" sqref="D102"/>
      <selection pane="topRight" activeCell="D102" sqref="D102"/>
      <selection pane="bottomLeft" activeCell="D102" sqref="D102"/>
      <selection pane="bottomRight" sqref="A1:V1048576"/>
    </sheetView>
  </sheetViews>
  <sheetFormatPr defaultRowHeight="12.75" x14ac:dyDescent="0.2"/>
  <cols>
    <col min="1" max="1" width="52.42578125" style="30" hidden="1" customWidth="1"/>
    <col min="2" max="2" width="17.140625" style="30" hidden="1" customWidth="1"/>
    <col min="3" max="3" width="13.28515625" style="30" hidden="1" customWidth="1"/>
    <col min="4" max="4" width="13.140625" style="30" hidden="1" customWidth="1"/>
    <col min="5" max="5" width="10.5703125" style="30" hidden="1" customWidth="1"/>
    <col min="6" max="6" width="13.5703125" style="30" hidden="1" customWidth="1"/>
    <col min="7" max="7" width="11.28515625" style="30" hidden="1" customWidth="1"/>
    <col min="8" max="22" width="0" style="30" hidden="1" customWidth="1"/>
    <col min="23" max="16384" width="9.140625" style="30"/>
  </cols>
  <sheetData>
    <row r="1" spans="1:11" ht="12.75" customHeight="1" x14ac:dyDescent="0.2">
      <c r="A1" s="1" t="s">
        <v>1038</v>
      </c>
      <c r="B1" s="1336" t="s">
        <v>898</v>
      </c>
      <c r="C1" s="1010"/>
      <c r="D1" s="1010"/>
      <c r="E1" s="1011">
        <f>1469-269.32</f>
        <v>1199.68</v>
      </c>
      <c r="F1" s="21"/>
      <c r="G1" s="1010"/>
    </row>
    <row r="2" spans="1:11" x14ac:dyDescent="0.2">
      <c r="A2" s="1" t="s">
        <v>77</v>
      </c>
      <c r="B2" s="1336"/>
      <c r="C2" s="1010"/>
      <c r="D2" s="1010"/>
      <c r="F2" s="21">
        <f>2474.22-453.6159</f>
        <v>2020.6040999999998</v>
      </c>
      <c r="G2" s="1010"/>
    </row>
    <row r="3" spans="1:11" x14ac:dyDescent="0.2">
      <c r="A3" s="1" t="s">
        <v>78</v>
      </c>
      <c r="B3" s="1336"/>
      <c r="C3" s="1010"/>
      <c r="D3" s="1010"/>
      <c r="E3" s="1010"/>
      <c r="F3" s="1010"/>
      <c r="G3" s="1010"/>
    </row>
    <row r="4" spans="1:11" x14ac:dyDescent="0.2">
      <c r="A4" s="1" t="s">
        <v>79</v>
      </c>
      <c r="B4" s="1336"/>
      <c r="C4" s="1010"/>
      <c r="D4" s="1010"/>
      <c r="E4" s="1010"/>
      <c r="F4" s="1010"/>
      <c r="G4" s="1010"/>
    </row>
    <row r="5" spans="1:11" x14ac:dyDescent="0.2">
      <c r="A5" s="1" t="s">
        <v>80</v>
      </c>
      <c r="B5" s="1336"/>
      <c r="C5" s="1010"/>
      <c r="D5" s="1010"/>
      <c r="E5" s="1010"/>
      <c r="F5" s="1010"/>
      <c r="G5" s="1010"/>
    </row>
    <row r="6" spans="1:11" ht="25.5" x14ac:dyDescent="0.2">
      <c r="A6" s="13" t="s">
        <v>118</v>
      </c>
      <c r="B6" s="6" t="s">
        <v>81</v>
      </c>
      <c r="C6" s="1041" t="s">
        <v>1021</v>
      </c>
      <c r="D6" s="1041" t="s">
        <v>1022</v>
      </c>
      <c r="E6" s="1041" t="s">
        <v>1071</v>
      </c>
      <c r="F6" s="1041" t="s">
        <v>1072</v>
      </c>
      <c r="G6" s="8" t="s">
        <v>1073</v>
      </c>
    </row>
    <row r="7" spans="1:11" x14ac:dyDescent="0.2">
      <c r="A7" s="9" t="s">
        <v>10</v>
      </c>
      <c r="B7" s="10">
        <v>2012</v>
      </c>
      <c r="C7" s="23">
        <f>SUMIF('2015 Factor % to units'!B:B,B7,'2015 Factor % to units'!AX:AX)</f>
        <v>27.200000000000031</v>
      </c>
      <c r="D7" s="23">
        <f>SUMIF('2015 Factor % to units'!B:B,B7,'2015 Factor % to units'!AY:AY)</f>
        <v>0</v>
      </c>
      <c r="E7" s="1042">
        <f>E$1*C7</f>
        <v>32631.296000000038</v>
      </c>
      <c r="F7" s="1042">
        <f>F$2*D7</f>
        <v>0</v>
      </c>
      <c r="G7" s="1042">
        <f>F7+E7</f>
        <v>32631.296000000038</v>
      </c>
      <c r="I7" s="23"/>
      <c r="J7" s="23"/>
      <c r="K7" s="23"/>
    </row>
    <row r="8" spans="1:11" x14ac:dyDescent="0.2">
      <c r="A8" s="9" t="s">
        <v>11</v>
      </c>
      <c r="B8" s="10">
        <v>2443</v>
      </c>
      <c r="C8" s="23">
        <f>SUMIF('2015 Factor % to units'!B:B,B8,'2015 Factor % to units'!AX:AX)</f>
        <v>0</v>
      </c>
      <c r="D8" s="23">
        <f>SUMIF('2015 Factor % to units'!B:B,B8,'2015 Factor % to units'!AY:AY)</f>
        <v>0</v>
      </c>
      <c r="E8" s="1042">
        <f t="shared" ref="E8:E71" si="0">E$1*C8</f>
        <v>0</v>
      </c>
      <c r="F8" s="1042">
        <f t="shared" ref="F8:F71" si="1">F$2*D8</f>
        <v>0</v>
      </c>
      <c r="G8" s="1042">
        <f t="shared" ref="G8:G71" si="2">F8+E8</f>
        <v>0</v>
      </c>
      <c r="I8" s="23"/>
      <c r="J8" s="23"/>
      <c r="K8" s="23"/>
    </row>
    <row r="9" spans="1:11" x14ac:dyDescent="0.2">
      <c r="A9" s="9" t="s">
        <v>94</v>
      </c>
      <c r="B9" s="10">
        <v>2442</v>
      </c>
      <c r="C9" s="23">
        <f>SUMIF('2015 Factor % to units'!B:B,B9,'2015 Factor % to units'!AX:AX)</f>
        <v>0</v>
      </c>
      <c r="D9" s="23">
        <f>SUMIF('2015 Factor % to units'!B:B,B9,'2015 Factor % to units'!AY:AY)</f>
        <v>0</v>
      </c>
      <c r="E9" s="1042">
        <f t="shared" si="0"/>
        <v>0</v>
      </c>
      <c r="F9" s="1042">
        <f t="shared" si="1"/>
        <v>0</v>
      </c>
      <c r="G9" s="1042">
        <f t="shared" si="2"/>
        <v>0</v>
      </c>
      <c r="I9" s="23"/>
      <c r="J9" s="23"/>
      <c r="K9" s="23"/>
    </row>
    <row r="10" spans="1:11" x14ac:dyDescent="0.2">
      <c r="A10" s="9" t="s">
        <v>13</v>
      </c>
      <c r="B10" s="10">
        <v>2629</v>
      </c>
      <c r="C10" s="23">
        <f>SUMIF('2015 Factor % to units'!B:B,B10,'2015 Factor % to units'!AX:AX)</f>
        <v>20.166055045871524</v>
      </c>
      <c r="D10" s="23">
        <f>SUMIF('2015 Factor % to units'!B:B,B10,'2015 Factor % to units'!AY:AY)</f>
        <v>0</v>
      </c>
      <c r="E10" s="1042">
        <f t="shared" si="0"/>
        <v>24192.812917431151</v>
      </c>
      <c r="F10" s="1042">
        <f t="shared" si="1"/>
        <v>0</v>
      </c>
      <c r="G10" s="1042">
        <f t="shared" si="2"/>
        <v>24192.812917431151</v>
      </c>
      <c r="I10" s="23"/>
      <c r="J10" s="23"/>
      <c r="K10" s="23"/>
    </row>
    <row r="11" spans="1:11" x14ac:dyDescent="0.2">
      <c r="A11" s="9" t="s">
        <v>14</v>
      </c>
      <c r="B11" s="10">
        <v>2509</v>
      </c>
      <c r="C11" s="23">
        <f>SUMIF('2015 Factor % to units'!B:B,B11,'2015 Factor % to units'!AX:AX)</f>
        <v>3.5000000000000093</v>
      </c>
      <c r="D11" s="23">
        <f>SUMIF('2015 Factor % to units'!B:B,B11,'2015 Factor % to units'!AY:AY)</f>
        <v>0</v>
      </c>
      <c r="E11" s="1042">
        <f t="shared" si="0"/>
        <v>4198.880000000011</v>
      </c>
      <c r="F11" s="1042">
        <f t="shared" si="1"/>
        <v>0</v>
      </c>
      <c r="G11" s="1042">
        <f t="shared" si="2"/>
        <v>4198.880000000011</v>
      </c>
      <c r="I11" s="23"/>
      <c r="J11" s="23"/>
      <c r="K11" s="23"/>
    </row>
    <row r="12" spans="1:11" x14ac:dyDescent="0.2">
      <c r="A12" s="9" t="s">
        <v>15</v>
      </c>
      <c r="B12" s="10">
        <v>2005</v>
      </c>
      <c r="C12" s="23">
        <f>SUMIF('2015 Factor % to units'!B:B,B12,'2015 Factor % to units'!AX:AX)</f>
        <v>28.700000000000102</v>
      </c>
      <c r="D12" s="23">
        <f>SUMIF('2015 Factor % to units'!B:B,B12,'2015 Factor % to units'!AY:AY)</f>
        <v>0</v>
      </c>
      <c r="E12" s="1042">
        <f t="shared" si="0"/>
        <v>34430.816000000123</v>
      </c>
      <c r="F12" s="1042">
        <f t="shared" si="1"/>
        <v>0</v>
      </c>
      <c r="G12" s="1042">
        <f t="shared" si="2"/>
        <v>34430.816000000123</v>
      </c>
      <c r="I12" s="23"/>
      <c r="J12" s="23"/>
      <c r="K12" s="23"/>
    </row>
    <row r="13" spans="1:11" x14ac:dyDescent="0.2">
      <c r="A13" s="9" t="s">
        <v>16</v>
      </c>
      <c r="B13" s="10">
        <v>2464</v>
      </c>
      <c r="C13" s="23">
        <f>SUMIF('2015 Factor % to units'!B:B,B13,'2015 Factor % to units'!AX:AX)</f>
        <v>0</v>
      </c>
      <c r="D13" s="23">
        <f>SUMIF('2015 Factor % to units'!B:B,B13,'2015 Factor % to units'!AY:AY)</f>
        <v>0</v>
      </c>
      <c r="E13" s="1042">
        <f t="shared" si="0"/>
        <v>0</v>
      </c>
      <c r="F13" s="1042">
        <f t="shared" si="1"/>
        <v>0</v>
      </c>
      <c r="G13" s="1042">
        <f t="shared" si="2"/>
        <v>0</v>
      </c>
      <c r="I13" s="23"/>
      <c r="J13" s="23"/>
      <c r="K13" s="23"/>
    </row>
    <row r="14" spans="1:11" x14ac:dyDescent="0.2">
      <c r="A14" s="9" t="s">
        <v>17</v>
      </c>
      <c r="B14" s="10">
        <v>2004</v>
      </c>
      <c r="C14" s="23">
        <f>SUMIF('2015 Factor % to units'!B:B,B14,'2015 Factor % to units'!AX:AX)</f>
        <v>4.7999999999998852</v>
      </c>
      <c r="D14" s="23">
        <f>SUMIF('2015 Factor % to units'!B:B,B14,'2015 Factor % to units'!AY:AY)</f>
        <v>0</v>
      </c>
      <c r="E14" s="1042">
        <f t="shared" si="0"/>
        <v>5758.4639999998626</v>
      </c>
      <c r="F14" s="1042">
        <f t="shared" si="1"/>
        <v>0</v>
      </c>
      <c r="G14" s="1042">
        <f t="shared" si="2"/>
        <v>5758.4639999998626</v>
      </c>
      <c r="I14" s="23"/>
      <c r="J14" s="23"/>
      <c r="K14" s="23"/>
    </row>
    <row r="15" spans="1:11" x14ac:dyDescent="0.2">
      <c r="A15" s="9" t="s">
        <v>18</v>
      </c>
      <c r="B15" s="10">
        <v>2405</v>
      </c>
      <c r="C15" s="23">
        <f>SUMIF('2015 Factor % to units'!B:B,B15,'2015 Factor % to units'!AX:AX)</f>
        <v>0</v>
      </c>
      <c r="D15" s="23">
        <f>SUMIF('2015 Factor % to units'!B:B,B15,'2015 Factor % to units'!AY:AY)</f>
        <v>0</v>
      </c>
      <c r="E15" s="1042">
        <f t="shared" si="0"/>
        <v>0</v>
      </c>
      <c r="F15" s="1042">
        <f t="shared" si="1"/>
        <v>0</v>
      </c>
      <c r="G15" s="1042">
        <f t="shared" si="2"/>
        <v>0</v>
      </c>
      <c r="I15" s="23"/>
      <c r="J15" s="23"/>
      <c r="K15" s="23"/>
    </row>
    <row r="16" spans="1:11" x14ac:dyDescent="0.2">
      <c r="A16" s="9" t="s">
        <v>95</v>
      </c>
      <c r="B16" s="10">
        <v>2011</v>
      </c>
      <c r="C16" s="1043">
        <v>0</v>
      </c>
      <c r="D16" s="23">
        <f>SUMIF('2015 Factor % to units'!B:B,B16,'2015 Factor % to units'!AY:AY)</f>
        <v>0</v>
      </c>
      <c r="E16" s="1042">
        <f t="shared" si="0"/>
        <v>0</v>
      </c>
      <c r="F16" s="1042">
        <f t="shared" si="1"/>
        <v>0</v>
      </c>
      <c r="G16" s="1042">
        <f t="shared" si="2"/>
        <v>0</v>
      </c>
      <c r="H16" s="30" t="s">
        <v>1074</v>
      </c>
      <c r="J16" s="23"/>
      <c r="K16" s="23"/>
    </row>
    <row r="17" spans="1:11" x14ac:dyDescent="0.2">
      <c r="A17" s="9" t="s">
        <v>20</v>
      </c>
      <c r="B17" s="10">
        <v>5201</v>
      </c>
      <c r="C17" s="23">
        <f>SUMIF('2015 Factor % to units'!B:B,B17,'2015 Factor % to units'!AX:AX)</f>
        <v>0</v>
      </c>
      <c r="D17" s="23">
        <f>SUMIF('2015 Factor % to units'!B:B,B17,'2015 Factor % to units'!AY:AY)</f>
        <v>0</v>
      </c>
      <c r="E17" s="1042">
        <f t="shared" si="0"/>
        <v>0</v>
      </c>
      <c r="F17" s="1042">
        <f t="shared" si="1"/>
        <v>0</v>
      </c>
      <c r="G17" s="1042">
        <f t="shared" si="2"/>
        <v>0</v>
      </c>
      <c r="I17" s="23"/>
      <c r="J17" s="23"/>
      <c r="K17" s="23"/>
    </row>
    <row r="18" spans="1:11" x14ac:dyDescent="0.2">
      <c r="A18" s="9" t="s">
        <v>96</v>
      </c>
      <c r="B18" s="10">
        <v>2007</v>
      </c>
      <c r="C18" s="23">
        <f>SUMIF('2015 Factor % to units'!B:B,B18,'2015 Factor % to units'!AX:AX)</f>
        <v>13.59999999999995</v>
      </c>
      <c r="D18" s="23">
        <f>SUMIF('2015 Factor % to units'!B:B,B18,'2015 Factor % to units'!AY:AY)</f>
        <v>0</v>
      </c>
      <c r="E18" s="1042">
        <f t="shared" si="0"/>
        <v>16315.647999999941</v>
      </c>
      <c r="F18" s="1042">
        <f t="shared" si="1"/>
        <v>0</v>
      </c>
      <c r="G18" s="1042">
        <f t="shared" si="2"/>
        <v>16315.647999999941</v>
      </c>
      <c r="I18" s="23"/>
      <c r="J18" s="23"/>
      <c r="K18" s="23"/>
    </row>
    <row r="19" spans="1:11" x14ac:dyDescent="0.2">
      <c r="A19" s="9" t="s">
        <v>21</v>
      </c>
      <c r="B19" s="10">
        <v>2433</v>
      </c>
      <c r="C19" s="23">
        <f>SUMIF('2015 Factor % to units'!B:B,B19,'2015 Factor % to units'!AX:AX)</f>
        <v>0</v>
      </c>
      <c r="D19" s="23">
        <f>SUMIF('2015 Factor % to units'!B:B,B19,'2015 Factor % to units'!AY:AY)</f>
        <v>0</v>
      </c>
      <c r="E19" s="1042">
        <f t="shared" si="0"/>
        <v>0</v>
      </c>
      <c r="F19" s="1042">
        <f t="shared" si="1"/>
        <v>0</v>
      </c>
      <c r="G19" s="1042">
        <f t="shared" si="2"/>
        <v>0</v>
      </c>
      <c r="I19" s="23"/>
      <c r="J19" s="23"/>
      <c r="K19" s="23"/>
    </row>
    <row r="20" spans="1:11" x14ac:dyDescent="0.2">
      <c r="A20" s="9" t="s">
        <v>22</v>
      </c>
      <c r="B20" s="10">
        <v>2432</v>
      </c>
      <c r="C20" s="23">
        <f>SUMIF('2015 Factor % to units'!B:B,B20,'2015 Factor % to units'!AX:AX)</f>
        <v>0</v>
      </c>
      <c r="D20" s="23">
        <f>SUMIF('2015 Factor % to units'!B:B,B20,'2015 Factor % to units'!AY:AY)</f>
        <v>0</v>
      </c>
      <c r="E20" s="1042">
        <f t="shared" si="0"/>
        <v>0</v>
      </c>
      <c r="F20" s="1042">
        <f t="shared" si="1"/>
        <v>0</v>
      </c>
      <c r="G20" s="1042">
        <f t="shared" si="2"/>
        <v>0</v>
      </c>
      <c r="I20" s="23"/>
      <c r="J20" s="23"/>
      <c r="K20" s="23"/>
    </row>
    <row r="21" spans="1:11" x14ac:dyDescent="0.2">
      <c r="A21" s="9" t="s">
        <v>1028</v>
      </c>
      <c r="B21" s="10">
        <v>2447</v>
      </c>
      <c r="C21" s="1043">
        <v>0</v>
      </c>
      <c r="D21" s="23">
        <f>SUMIF('2015 Factor % to units'!B:B,B21,'2015 Factor % to units'!AY:AY)</f>
        <v>0</v>
      </c>
      <c r="E21" s="1042">
        <f t="shared" si="0"/>
        <v>0</v>
      </c>
      <c r="F21" s="1042">
        <f t="shared" si="1"/>
        <v>0</v>
      </c>
      <c r="G21" s="1042">
        <f t="shared" si="2"/>
        <v>0</v>
      </c>
      <c r="H21" s="30" t="s">
        <v>1075</v>
      </c>
      <c r="J21" s="23"/>
      <c r="K21" s="23"/>
    </row>
    <row r="22" spans="1:11" x14ac:dyDescent="0.2">
      <c r="A22" s="9" t="s">
        <v>23</v>
      </c>
      <c r="B22" s="10">
        <v>2512</v>
      </c>
      <c r="C22" s="23">
        <f>SUMIF('2015 Factor % to units'!B:B,B22,'2015 Factor % to units'!AX:AX)</f>
        <v>0</v>
      </c>
      <c r="D22" s="23">
        <f>SUMIF('2015 Factor % to units'!B:B,B22,'2015 Factor % to units'!AY:AY)</f>
        <v>0</v>
      </c>
      <c r="E22" s="1042">
        <f t="shared" si="0"/>
        <v>0</v>
      </c>
      <c r="F22" s="1042">
        <f t="shared" si="1"/>
        <v>0</v>
      </c>
      <c r="G22" s="1042">
        <f t="shared" si="2"/>
        <v>0</v>
      </c>
      <c r="I22" s="23"/>
      <c r="J22" s="23"/>
      <c r="K22" s="23"/>
    </row>
    <row r="23" spans="1:11" x14ac:dyDescent="0.2">
      <c r="A23" s="9" t="s">
        <v>24</v>
      </c>
      <c r="B23" s="10">
        <v>2456</v>
      </c>
      <c r="C23" s="23">
        <f>SUMIF('2015 Factor % to units'!B:B,B23,'2015 Factor % to units'!AX:AX)</f>
        <v>0</v>
      </c>
      <c r="D23" s="23">
        <f>SUMIF('2015 Factor % to units'!B:B,B23,'2015 Factor % to units'!AY:AY)</f>
        <v>0</v>
      </c>
      <c r="E23" s="1042">
        <f t="shared" si="0"/>
        <v>0</v>
      </c>
      <c r="F23" s="1042">
        <f t="shared" si="1"/>
        <v>0</v>
      </c>
      <c r="G23" s="1042">
        <f t="shared" si="2"/>
        <v>0</v>
      </c>
      <c r="I23" s="23"/>
      <c r="J23" s="23"/>
      <c r="K23" s="23"/>
    </row>
    <row r="24" spans="1:11" x14ac:dyDescent="0.2">
      <c r="A24" s="9" t="s">
        <v>25</v>
      </c>
      <c r="B24" s="10">
        <v>2449</v>
      </c>
      <c r="C24" s="23">
        <f>SUMIF('2015 Factor % to units'!B:B,B24,'2015 Factor % to units'!AX:AX)</f>
        <v>0</v>
      </c>
      <c r="D24" s="23">
        <f>SUMIF('2015 Factor % to units'!B:B,B24,'2015 Factor % to units'!AY:AY)</f>
        <v>0</v>
      </c>
      <c r="E24" s="1042">
        <f t="shared" si="0"/>
        <v>0</v>
      </c>
      <c r="F24" s="1042">
        <f t="shared" si="1"/>
        <v>0</v>
      </c>
      <c r="G24" s="1042">
        <f t="shared" si="2"/>
        <v>0</v>
      </c>
      <c r="I24" s="23"/>
      <c r="J24" s="23"/>
      <c r="K24" s="23"/>
    </row>
    <row r="25" spans="1:11" x14ac:dyDescent="0.2">
      <c r="A25" s="9" t="s">
        <v>26</v>
      </c>
      <c r="B25" s="10">
        <v>2448</v>
      </c>
      <c r="C25" s="23">
        <f>SUMIF('2015 Factor % to units'!B:B,B25,'2015 Factor % to units'!AX:AX)</f>
        <v>0</v>
      </c>
      <c r="D25" s="23">
        <f>SUMIF('2015 Factor % to units'!B:B,B25,'2015 Factor % to units'!AY:AY)</f>
        <v>0</v>
      </c>
      <c r="E25" s="1042">
        <f t="shared" si="0"/>
        <v>0</v>
      </c>
      <c r="F25" s="1042">
        <f t="shared" si="1"/>
        <v>0</v>
      </c>
      <c r="G25" s="1042">
        <f t="shared" si="2"/>
        <v>0</v>
      </c>
      <c r="I25" s="23"/>
      <c r="J25" s="23"/>
      <c r="K25" s="23"/>
    </row>
    <row r="26" spans="1:11" x14ac:dyDescent="0.2">
      <c r="A26" s="9" t="s">
        <v>126</v>
      </c>
      <c r="B26" s="10">
        <v>2467</v>
      </c>
      <c r="C26" s="23">
        <f>SUMIF('2015 Factor % to units'!B:B,B26,'2015 Factor % to units'!AX:AX)</f>
        <v>0</v>
      </c>
      <c r="D26" s="23">
        <f>SUMIF('2015 Factor % to units'!B:B,B26,'2015 Factor % to units'!AY:AY)</f>
        <v>0</v>
      </c>
      <c r="E26" s="1042">
        <f t="shared" si="0"/>
        <v>0</v>
      </c>
      <c r="F26" s="1042">
        <f t="shared" si="1"/>
        <v>0</v>
      </c>
      <c r="G26" s="1042">
        <f t="shared" si="2"/>
        <v>0</v>
      </c>
      <c r="I26" s="23"/>
      <c r="J26" s="23"/>
      <c r="K26" s="23"/>
    </row>
    <row r="27" spans="1:11" x14ac:dyDescent="0.2">
      <c r="A27" s="9" t="s">
        <v>28</v>
      </c>
      <c r="B27" s="10">
        <v>2455</v>
      </c>
      <c r="C27" s="23">
        <f>SUMIF('2015 Factor % to units'!B:B,B27,'2015 Factor % to units'!AX:AX)</f>
        <v>0</v>
      </c>
      <c r="D27" s="23">
        <f>SUMIF('2015 Factor % to units'!B:B,B27,'2015 Factor % to units'!AY:AY)</f>
        <v>0</v>
      </c>
      <c r="E27" s="1042">
        <f t="shared" si="0"/>
        <v>0</v>
      </c>
      <c r="F27" s="1042">
        <f t="shared" si="1"/>
        <v>0</v>
      </c>
      <c r="G27" s="1042">
        <f t="shared" si="2"/>
        <v>0</v>
      </c>
      <c r="I27" s="23"/>
      <c r="J27" s="23"/>
      <c r="K27" s="23"/>
    </row>
    <row r="28" spans="1:11" x14ac:dyDescent="0.2">
      <c r="A28" s="9" t="s">
        <v>29</v>
      </c>
      <c r="B28" s="10">
        <v>5203</v>
      </c>
      <c r="C28" s="23">
        <f>SUMIF('2015 Factor % to units'!B:B,B28,'2015 Factor % to units'!AX:AX)</f>
        <v>0</v>
      </c>
      <c r="D28" s="23">
        <f>SUMIF('2015 Factor % to units'!B:B,B28,'2015 Factor % to units'!AY:AY)</f>
        <v>0</v>
      </c>
      <c r="E28" s="1042">
        <f t="shared" si="0"/>
        <v>0</v>
      </c>
      <c r="F28" s="1042">
        <f t="shared" si="1"/>
        <v>0</v>
      </c>
      <c r="G28" s="1042">
        <f t="shared" si="2"/>
        <v>0</v>
      </c>
      <c r="I28" s="23"/>
      <c r="J28" s="23"/>
      <c r="K28" s="23"/>
    </row>
    <row r="29" spans="1:11" x14ac:dyDescent="0.2">
      <c r="A29" s="9" t="s">
        <v>30</v>
      </c>
      <c r="B29" s="10">
        <v>2451</v>
      </c>
      <c r="C29" s="23">
        <f>SUMIF('2015 Factor % to units'!B:B,B29,'2015 Factor % to units'!AX:AX)</f>
        <v>0</v>
      </c>
      <c r="D29" s="23">
        <f>SUMIF('2015 Factor % to units'!B:B,B29,'2015 Factor % to units'!AY:AY)</f>
        <v>0</v>
      </c>
      <c r="E29" s="1042">
        <f t="shared" si="0"/>
        <v>0</v>
      </c>
      <c r="F29" s="1042">
        <f t="shared" si="1"/>
        <v>0</v>
      </c>
      <c r="G29" s="1042">
        <f t="shared" si="2"/>
        <v>0</v>
      </c>
      <c r="I29" s="23"/>
      <c r="J29" s="23"/>
      <c r="K29" s="23"/>
    </row>
    <row r="30" spans="1:11" x14ac:dyDescent="0.2">
      <c r="A30" s="9" t="s">
        <v>31</v>
      </c>
      <c r="B30" s="10">
        <v>2409</v>
      </c>
      <c r="C30" s="23">
        <f>SUMIF('2015 Factor % to units'!B:B,B30,'2015 Factor % to units'!AX:AX)</f>
        <v>1.7999999999997827</v>
      </c>
      <c r="D30" s="23">
        <f>SUMIF('2015 Factor % to units'!B:B,B30,'2015 Factor % to units'!AY:AY)</f>
        <v>0</v>
      </c>
      <c r="E30" s="1042">
        <f t="shared" si="0"/>
        <v>2159.4239999997394</v>
      </c>
      <c r="F30" s="1042">
        <f t="shared" si="1"/>
        <v>0</v>
      </c>
      <c r="G30" s="1042">
        <f t="shared" si="2"/>
        <v>2159.4239999997394</v>
      </c>
      <c r="I30" s="23"/>
      <c r="J30" s="23"/>
      <c r="K30" s="23"/>
    </row>
    <row r="31" spans="1:11" x14ac:dyDescent="0.2">
      <c r="A31" s="9" t="s">
        <v>98</v>
      </c>
      <c r="B31" s="10">
        <v>3158</v>
      </c>
      <c r="C31" s="23">
        <f>SUMIF('2015 Factor % to units'!B:B,B31,'2015 Factor % to units'!AX:AX)</f>
        <v>0</v>
      </c>
      <c r="D31" s="23">
        <f>SUMIF('2015 Factor % to units'!B:B,B31,'2015 Factor % to units'!AY:AY)</f>
        <v>0</v>
      </c>
      <c r="E31" s="1042">
        <f t="shared" si="0"/>
        <v>0</v>
      </c>
      <c r="F31" s="1042">
        <f t="shared" si="1"/>
        <v>0</v>
      </c>
      <c r="G31" s="1042">
        <f t="shared" si="2"/>
        <v>0</v>
      </c>
      <c r="I31" s="23"/>
      <c r="J31" s="23"/>
      <c r="K31" s="23"/>
    </row>
    <row r="32" spans="1:11" x14ac:dyDescent="0.2">
      <c r="A32" s="9" t="s">
        <v>32</v>
      </c>
      <c r="B32" s="10">
        <v>2619</v>
      </c>
      <c r="C32" s="23">
        <f>SUMIF('2015 Factor % to units'!B:B,B32,'2015 Factor % to units'!AX:AX)</f>
        <v>0</v>
      </c>
      <c r="D32" s="23">
        <f>SUMIF('2015 Factor % to units'!B:B,B32,'2015 Factor % to units'!AY:AY)</f>
        <v>0</v>
      </c>
      <c r="E32" s="1042">
        <f t="shared" si="0"/>
        <v>0</v>
      </c>
      <c r="F32" s="1042">
        <f t="shared" si="1"/>
        <v>0</v>
      </c>
      <c r="G32" s="1042">
        <f t="shared" si="2"/>
        <v>0</v>
      </c>
      <c r="I32" s="23"/>
      <c r="J32" s="23"/>
      <c r="K32" s="23"/>
    </row>
    <row r="33" spans="1:11" x14ac:dyDescent="0.2">
      <c r="A33" s="9" t="s">
        <v>33</v>
      </c>
      <c r="B33" s="10">
        <v>2518</v>
      </c>
      <c r="C33" s="23">
        <f>SUMIF('2015 Factor % to units'!B:B,B33,'2015 Factor % to units'!AX:AX)</f>
        <v>72.000000000000014</v>
      </c>
      <c r="D33" s="23">
        <f>SUMIF('2015 Factor % to units'!B:B,B33,'2015 Factor % to units'!AY:AY)</f>
        <v>0</v>
      </c>
      <c r="E33" s="1042">
        <f t="shared" si="0"/>
        <v>86376.960000000021</v>
      </c>
      <c r="F33" s="1042">
        <f t="shared" si="1"/>
        <v>0</v>
      </c>
      <c r="G33" s="1042">
        <f t="shared" si="2"/>
        <v>86376.960000000021</v>
      </c>
      <c r="I33" s="23"/>
      <c r="J33" s="23"/>
      <c r="K33" s="23"/>
    </row>
    <row r="34" spans="1:11" x14ac:dyDescent="0.2">
      <c r="A34" s="9" t="s">
        <v>34</v>
      </c>
      <c r="B34" s="10">
        <v>2457</v>
      </c>
      <c r="C34" s="23">
        <f>SUMIF('2015 Factor % to units'!B:B,B34,'2015 Factor % to units'!AX:AX)</f>
        <v>0</v>
      </c>
      <c r="D34" s="23">
        <f>SUMIF('2015 Factor % to units'!B:B,B34,'2015 Factor % to units'!AY:AY)</f>
        <v>0</v>
      </c>
      <c r="E34" s="1042">
        <f t="shared" si="0"/>
        <v>0</v>
      </c>
      <c r="F34" s="1042">
        <f t="shared" si="1"/>
        <v>0</v>
      </c>
      <c r="G34" s="1042">
        <f t="shared" si="2"/>
        <v>0</v>
      </c>
      <c r="I34" s="23"/>
      <c r="J34" s="23"/>
      <c r="K34" s="23"/>
    </row>
    <row r="35" spans="1:11" x14ac:dyDescent="0.2">
      <c r="A35" s="9" t="s">
        <v>99</v>
      </c>
      <c r="B35" s="10">
        <v>2010</v>
      </c>
      <c r="C35" s="1043">
        <v>0</v>
      </c>
      <c r="D35" s="23">
        <f>SUMIF('2015 Factor % to units'!B:B,B35,'2015 Factor % to units'!AY:AY)</f>
        <v>0</v>
      </c>
      <c r="E35" s="1042">
        <f t="shared" si="0"/>
        <v>0</v>
      </c>
      <c r="F35" s="1042">
        <f t="shared" si="1"/>
        <v>0</v>
      </c>
      <c r="G35" s="1042">
        <f t="shared" si="2"/>
        <v>0</v>
      </c>
      <c r="H35" s="30" t="s">
        <v>1076</v>
      </c>
      <c r="I35" s="23"/>
      <c r="J35" s="23"/>
      <c r="K35" s="23"/>
    </row>
    <row r="36" spans="1:11" x14ac:dyDescent="0.2">
      <c r="A36" s="9" t="s">
        <v>35</v>
      </c>
      <c r="B36" s="10">
        <v>2002</v>
      </c>
      <c r="C36" s="23">
        <f>SUMIF('2015 Factor % to units'!B:B,B36,'2015 Factor % to units'!AX:AX)</f>
        <v>0</v>
      </c>
      <c r="D36" s="23">
        <f>SUMIF('2015 Factor % to units'!B:B,B36,'2015 Factor % to units'!AY:AY)</f>
        <v>0</v>
      </c>
      <c r="E36" s="1042">
        <f t="shared" si="0"/>
        <v>0</v>
      </c>
      <c r="F36" s="1042">
        <f t="shared" si="1"/>
        <v>0</v>
      </c>
      <c r="G36" s="1042">
        <f t="shared" si="2"/>
        <v>0</v>
      </c>
      <c r="I36" s="23"/>
      <c r="J36" s="23"/>
      <c r="K36" s="23"/>
    </row>
    <row r="37" spans="1:11" x14ac:dyDescent="0.2">
      <c r="A37" s="9" t="s">
        <v>36</v>
      </c>
      <c r="B37" s="10">
        <v>3544</v>
      </c>
      <c r="C37" s="23">
        <f>SUMIF('2015 Factor % to units'!B:B,B37,'2015 Factor % to units'!AX:AX)</f>
        <v>0</v>
      </c>
      <c r="D37" s="23">
        <f>SUMIF('2015 Factor % to units'!B:B,B37,'2015 Factor % to units'!AY:AY)</f>
        <v>0</v>
      </c>
      <c r="E37" s="1042">
        <f t="shared" si="0"/>
        <v>0</v>
      </c>
      <c r="F37" s="1042">
        <f t="shared" si="1"/>
        <v>0</v>
      </c>
      <c r="G37" s="1042">
        <f t="shared" si="2"/>
        <v>0</v>
      </c>
      <c r="I37" s="23"/>
      <c r="J37" s="23"/>
      <c r="K37" s="23"/>
    </row>
    <row r="38" spans="1:11" x14ac:dyDescent="0.2">
      <c r="A38" s="9" t="s">
        <v>100</v>
      </c>
      <c r="B38" s="10">
        <v>2006</v>
      </c>
      <c r="C38" s="23">
        <f>SUMIF('2015 Factor % to units'!B:B,B38,'2015 Factor % to units'!AX:AX)</f>
        <v>0</v>
      </c>
      <c r="D38" s="23">
        <f>SUMIF('2015 Factor % to units'!B:B,B38,'2015 Factor % to units'!AY:AY)</f>
        <v>0</v>
      </c>
      <c r="E38" s="1042">
        <f t="shared" si="0"/>
        <v>0</v>
      </c>
      <c r="F38" s="1042">
        <f t="shared" si="1"/>
        <v>0</v>
      </c>
      <c r="G38" s="1042">
        <f t="shared" si="2"/>
        <v>0</v>
      </c>
      <c r="I38" s="23"/>
      <c r="J38" s="23"/>
      <c r="K38" s="23"/>
    </row>
    <row r="39" spans="1:11" x14ac:dyDescent="0.2">
      <c r="A39" s="9" t="s">
        <v>37</v>
      </c>
      <c r="B39" s="10">
        <v>2434</v>
      </c>
      <c r="C39" s="23">
        <f>SUMIF('2015 Factor % to units'!B:B,B39,'2015 Factor % to units'!AX:AX)</f>
        <v>16.276321353065502</v>
      </c>
      <c r="D39" s="23">
        <f>SUMIF('2015 Factor % to units'!B:B,B39,'2015 Factor % to units'!AY:AY)</f>
        <v>0</v>
      </c>
      <c r="E39" s="1042">
        <f t="shared" si="0"/>
        <v>19526.377200845622</v>
      </c>
      <c r="F39" s="1042">
        <f t="shared" si="1"/>
        <v>0</v>
      </c>
      <c r="G39" s="1042">
        <f t="shared" si="2"/>
        <v>19526.377200845622</v>
      </c>
      <c r="I39" s="23"/>
      <c r="J39" s="23"/>
      <c r="K39" s="23"/>
    </row>
    <row r="40" spans="1:11" x14ac:dyDescent="0.2">
      <c r="A40" s="9" t="s">
        <v>38</v>
      </c>
      <c r="B40" s="10">
        <v>2522</v>
      </c>
      <c r="C40" s="23">
        <f>SUMIF('2015 Factor % to units'!B:B,B40,'2015 Factor % to units'!AX:AX)</f>
        <v>0</v>
      </c>
      <c r="D40" s="23">
        <f>SUMIF('2015 Factor % to units'!B:B,B40,'2015 Factor % to units'!AY:AY)</f>
        <v>0</v>
      </c>
      <c r="E40" s="1042">
        <f t="shared" si="0"/>
        <v>0</v>
      </c>
      <c r="F40" s="1042">
        <f t="shared" si="1"/>
        <v>0</v>
      </c>
      <c r="G40" s="1042">
        <f t="shared" si="2"/>
        <v>0</v>
      </c>
      <c r="I40" s="23"/>
      <c r="J40" s="23"/>
      <c r="K40" s="23"/>
    </row>
    <row r="41" spans="1:11" x14ac:dyDescent="0.2">
      <c r="A41" s="9" t="s">
        <v>39</v>
      </c>
      <c r="B41" s="10">
        <v>2436</v>
      </c>
      <c r="C41" s="23">
        <f>SUMIF('2015 Factor % to units'!B:B,B41,'2015 Factor % to units'!AX:AX)</f>
        <v>0</v>
      </c>
      <c r="D41" s="23">
        <f>SUMIF('2015 Factor % to units'!B:B,B41,'2015 Factor % to units'!AY:AY)</f>
        <v>0</v>
      </c>
      <c r="E41" s="1042">
        <f t="shared" si="0"/>
        <v>0</v>
      </c>
      <c r="F41" s="1042">
        <f t="shared" si="1"/>
        <v>0</v>
      </c>
      <c r="G41" s="1042">
        <f t="shared" si="2"/>
        <v>0</v>
      </c>
      <c r="I41" s="23"/>
      <c r="J41" s="23"/>
      <c r="K41" s="23"/>
    </row>
    <row r="42" spans="1:11" x14ac:dyDescent="0.2">
      <c r="A42" s="9" t="s">
        <v>40</v>
      </c>
      <c r="B42" s="10">
        <v>2452</v>
      </c>
      <c r="C42" s="23">
        <f>SUMIF('2015 Factor % to units'!B:B,B42,'2015 Factor % to units'!AX:AX)</f>
        <v>0</v>
      </c>
      <c r="D42" s="23">
        <f>SUMIF('2015 Factor % to units'!B:B,B42,'2015 Factor % to units'!AY:AY)</f>
        <v>0</v>
      </c>
      <c r="E42" s="1042">
        <f t="shared" si="0"/>
        <v>0</v>
      </c>
      <c r="F42" s="1042">
        <f t="shared" si="1"/>
        <v>0</v>
      </c>
      <c r="G42" s="1042">
        <f t="shared" si="2"/>
        <v>0</v>
      </c>
      <c r="I42" s="23"/>
      <c r="J42" s="23"/>
      <c r="K42" s="23"/>
    </row>
    <row r="43" spans="1:11" x14ac:dyDescent="0.2">
      <c r="A43" s="9" t="s">
        <v>41</v>
      </c>
      <c r="B43" s="10">
        <v>2627</v>
      </c>
      <c r="C43" s="23">
        <f>SUMIF('2015 Factor % to units'!B:B,B43,'2015 Factor % to units'!AX:AX)</f>
        <v>0</v>
      </c>
      <c r="D43" s="23">
        <f>SUMIF('2015 Factor % to units'!B:B,B43,'2015 Factor % to units'!AY:AY)</f>
        <v>0</v>
      </c>
      <c r="E43" s="1042">
        <f t="shared" si="0"/>
        <v>0</v>
      </c>
      <c r="F43" s="1042">
        <f t="shared" si="1"/>
        <v>0</v>
      </c>
      <c r="G43" s="1042">
        <f t="shared" si="2"/>
        <v>0</v>
      </c>
      <c r="I43" s="23"/>
      <c r="J43" s="23"/>
      <c r="K43" s="23"/>
    </row>
    <row r="44" spans="1:11" x14ac:dyDescent="0.2">
      <c r="A44" s="9" t="s">
        <v>42</v>
      </c>
      <c r="B44" s="10">
        <v>2009</v>
      </c>
      <c r="C44" s="23">
        <f>SUMIF('2015 Factor % to units'!B:B,B44,'2015 Factor % to units'!AX:AX)</f>
        <v>0</v>
      </c>
      <c r="D44" s="23">
        <f>SUMIF('2015 Factor % to units'!B:B,B44,'2015 Factor % to units'!AY:AY)</f>
        <v>0</v>
      </c>
      <c r="E44" s="1042">
        <f t="shared" si="0"/>
        <v>0</v>
      </c>
      <c r="F44" s="1042">
        <f t="shared" si="1"/>
        <v>0</v>
      </c>
      <c r="G44" s="1042">
        <f t="shared" si="2"/>
        <v>0</v>
      </c>
      <c r="I44" s="23"/>
      <c r="J44" s="23"/>
      <c r="K44" s="23"/>
    </row>
    <row r="45" spans="1:11" x14ac:dyDescent="0.2">
      <c r="A45" s="9" t="s">
        <v>101</v>
      </c>
      <c r="B45" s="10">
        <v>2473</v>
      </c>
      <c r="C45" s="23">
        <f>SUMIF('2015 Factor % to units'!B:B,B45,'2015 Factor % to units'!AX:AX)</f>
        <v>0</v>
      </c>
      <c r="D45" s="23">
        <f>SUMIF('2015 Factor % to units'!B:B,B45,'2015 Factor % to units'!AY:AY)</f>
        <v>0</v>
      </c>
      <c r="E45" s="1042">
        <f t="shared" si="0"/>
        <v>0</v>
      </c>
      <c r="F45" s="1042">
        <f t="shared" si="1"/>
        <v>0</v>
      </c>
      <c r="G45" s="1042">
        <f t="shared" si="2"/>
        <v>0</v>
      </c>
      <c r="I45" s="23"/>
      <c r="J45" s="23"/>
      <c r="K45" s="23"/>
    </row>
    <row r="46" spans="1:11" x14ac:dyDescent="0.2">
      <c r="A46" s="9" t="s">
        <v>44</v>
      </c>
      <c r="B46" s="10">
        <v>2471</v>
      </c>
      <c r="C46" s="23">
        <f>SUMIF('2015 Factor % to units'!B:B,B46,'2015 Factor % to units'!AX:AX)</f>
        <v>0</v>
      </c>
      <c r="D46" s="23">
        <f>SUMIF('2015 Factor % to units'!B:B,B46,'2015 Factor % to units'!AY:AY)</f>
        <v>0</v>
      </c>
      <c r="E46" s="1042">
        <f t="shared" si="0"/>
        <v>0</v>
      </c>
      <c r="F46" s="1042">
        <f t="shared" si="1"/>
        <v>0</v>
      </c>
      <c r="G46" s="1042">
        <f t="shared" si="2"/>
        <v>0</v>
      </c>
      <c r="I46" s="23"/>
      <c r="J46" s="23"/>
      <c r="K46" s="23"/>
    </row>
    <row r="47" spans="1:11" x14ac:dyDescent="0.2">
      <c r="A47" s="9" t="s">
        <v>43</v>
      </c>
      <c r="B47" s="10">
        <v>2420</v>
      </c>
      <c r="C47" s="23">
        <f>SUMIF('2015 Factor % to units'!B:B,B47,'2015 Factor % to units'!AX:AX)</f>
        <v>52.700000000000152</v>
      </c>
      <c r="D47" s="23">
        <f>SUMIF('2015 Factor % to units'!B:B,B47,'2015 Factor % to units'!AY:AY)</f>
        <v>0</v>
      </c>
      <c r="E47" s="1042">
        <f t="shared" si="0"/>
        <v>63223.136000000188</v>
      </c>
      <c r="F47" s="1042">
        <f t="shared" si="1"/>
        <v>0</v>
      </c>
      <c r="G47" s="1042">
        <f t="shared" si="2"/>
        <v>63223.136000000188</v>
      </c>
      <c r="I47" s="23"/>
      <c r="J47" s="23"/>
      <c r="K47" s="23"/>
    </row>
    <row r="48" spans="1:11" x14ac:dyDescent="0.2">
      <c r="A48" s="9" t="s">
        <v>45</v>
      </c>
      <c r="B48" s="10">
        <v>2003</v>
      </c>
      <c r="C48" s="23">
        <f>SUMIF('2015 Factor % to units'!B:B,B48,'2015 Factor % to units'!AX:AX)</f>
        <v>0</v>
      </c>
      <c r="D48" s="23">
        <f>SUMIF('2015 Factor % to units'!B:B,B48,'2015 Factor % to units'!AY:AY)</f>
        <v>0</v>
      </c>
      <c r="E48" s="1042">
        <f t="shared" si="0"/>
        <v>0</v>
      </c>
      <c r="F48" s="1042">
        <f t="shared" si="1"/>
        <v>0</v>
      </c>
      <c r="G48" s="1042">
        <f t="shared" si="2"/>
        <v>0</v>
      </c>
      <c r="I48" s="23"/>
      <c r="J48" s="23"/>
      <c r="K48" s="23"/>
    </row>
    <row r="49" spans="1:11" x14ac:dyDescent="0.2">
      <c r="A49" s="9" t="s">
        <v>46</v>
      </c>
      <c r="B49" s="10">
        <v>2423</v>
      </c>
      <c r="C49" s="23">
        <f>SUMIF('2015 Factor % to units'!B:B,B49,'2015 Factor % to units'!AX:AX)</f>
        <v>19.69999999999995</v>
      </c>
      <c r="D49" s="23">
        <f>SUMIF('2015 Factor % to units'!B:B,B49,'2015 Factor % to units'!AY:AY)</f>
        <v>0</v>
      </c>
      <c r="E49" s="1042">
        <f t="shared" si="0"/>
        <v>23633.695999999942</v>
      </c>
      <c r="F49" s="1042">
        <f t="shared" si="1"/>
        <v>0</v>
      </c>
      <c r="G49" s="1042">
        <f t="shared" si="2"/>
        <v>23633.695999999942</v>
      </c>
      <c r="I49" s="23"/>
      <c r="J49" s="23"/>
      <c r="K49" s="23"/>
    </row>
    <row r="50" spans="1:11" x14ac:dyDescent="0.2">
      <c r="A50" s="9" t="s">
        <v>47</v>
      </c>
      <c r="B50" s="10">
        <v>2424</v>
      </c>
      <c r="C50" s="23">
        <f>SUMIF('2015 Factor % to units'!B:B,B50,'2015 Factor % to units'!AX:AX)</f>
        <v>0</v>
      </c>
      <c r="D50" s="23">
        <f>SUMIF('2015 Factor % to units'!B:B,B50,'2015 Factor % to units'!AY:AY)</f>
        <v>0</v>
      </c>
      <c r="E50" s="1042">
        <f t="shared" si="0"/>
        <v>0</v>
      </c>
      <c r="F50" s="1042">
        <f t="shared" si="1"/>
        <v>0</v>
      </c>
      <c r="G50" s="1042">
        <f t="shared" si="2"/>
        <v>0</v>
      </c>
      <c r="I50" s="23"/>
      <c r="J50" s="23"/>
      <c r="K50" s="23"/>
    </row>
    <row r="51" spans="1:11" x14ac:dyDescent="0.2">
      <c r="A51" s="9" t="s">
        <v>48</v>
      </c>
      <c r="B51" s="10">
        <v>2439</v>
      </c>
      <c r="C51" s="23">
        <f>SUMIF('2015 Factor % to units'!B:B,B51,'2015 Factor % to units'!AX:AX)</f>
        <v>0</v>
      </c>
      <c r="D51" s="23">
        <f>SUMIF('2015 Factor % to units'!B:B,B51,'2015 Factor % to units'!AY:AY)</f>
        <v>0</v>
      </c>
      <c r="E51" s="1042">
        <f t="shared" si="0"/>
        <v>0</v>
      </c>
      <c r="F51" s="1042">
        <f t="shared" si="1"/>
        <v>0</v>
      </c>
      <c r="G51" s="1042">
        <f t="shared" si="2"/>
        <v>0</v>
      </c>
      <c r="I51" s="23"/>
      <c r="J51" s="23"/>
      <c r="K51" s="23"/>
    </row>
    <row r="52" spans="1:11" x14ac:dyDescent="0.2">
      <c r="A52" s="9" t="s">
        <v>49</v>
      </c>
      <c r="B52" s="10">
        <v>2440</v>
      </c>
      <c r="C52" s="23">
        <f>SUMIF('2015 Factor % to units'!B:B,B52,'2015 Factor % to units'!AX:AX)</f>
        <v>0</v>
      </c>
      <c r="D52" s="23">
        <f>SUMIF('2015 Factor % to units'!B:B,B52,'2015 Factor % to units'!AY:AY)</f>
        <v>0</v>
      </c>
      <c r="E52" s="1042">
        <f t="shared" si="0"/>
        <v>0</v>
      </c>
      <c r="F52" s="1042">
        <f t="shared" si="1"/>
        <v>0</v>
      </c>
      <c r="G52" s="1042">
        <f t="shared" si="2"/>
        <v>0</v>
      </c>
      <c r="I52" s="23"/>
      <c r="J52" s="23"/>
      <c r="K52" s="23"/>
    </row>
    <row r="53" spans="1:11" x14ac:dyDescent="0.2">
      <c r="A53" s="9" t="s">
        <v>102</v>
      </c>
      <c r="B53" s="10">
        <v>2462</v>
      </c>
      <c r="C53" s="23">
        <f>SUMIF('2015 Factor % to units'!B:B,B53,'2015 Factor % to units'!AX:AX)</f>
        <v>0</v>
      </c>
      <c r="D53" s="23">
        <f>SUMIF('2015 Factor % to units'!B:B,B53,'2015 Factor % to units'!AY:AY)</f>
        <v>0</v>
      </c>
      <c r="E53" s="1042">
        <f t="shared" si="0"/>
        <v>0</v>
      </c>
      <c r="F53" s="1042">
        <f t="shared" si="1"/>
        <v>0</v>
      </c>
      <c r="G53" s="1042">
        <f t="shared" si="2"/>
        <v>0</v>
      </c>
      <c r="I53" s="23"/>
      <c r="J53" s="23"/>
      <c r="K53" s="23"/>
    </row>
    <row r="54" spans="1:11" x14ac:dyDescent="0.2">
      <c r="A54" s="9" t="s">
        <v>50</v>
      </c>
      <c r="B54" s="10">
        <v>2463</v>
      </c>
      <c r="C54" s="23">
        <f>SUMIF('2015 Factor % to units'!B:B,B54,'2015 Factor % to units'!AX:AX)</f>
        <v>0</v>
      </c>
      <c r="D54" s="23">
        <f>SUMIF('2015 Factor % to units'!B:B,B54,'2015 Factor % to units'!AY:AY)</f>
        <v>0</v>
      </c>
      <c r="E54" s="1042">
        <f t="shared" si="0"/>
        <v>0</v>
      </c>
      <c r="F54" s="1042">
        <f t="shared" si="1"/>
        <v>0</v>
      </c>
      <c r="G54" s="1042">
        <f t="shared" si="2"/>
        <v>0</v>
      </c>
      <c r="I54" s="23"/>
      <c r="J54" s="23"/>
      <c r="K54" s="23"/>
    </row>
    <row r="55" spans="1:11" x14ac:dyDescent="0.2">
      <c r="A55" s="9" t="s">
        <v>51</v>
      </c>
      <c r="B55" s="10">
        <v>2505</v>
      </c>
      <c r="C55" s="23">
        <f>SUMIF('2015 Factor % to units'!B:B,B55,'2015 Factor % to units'!AX:AX)</f>
        <v>2.7000000000001982</v>
      </c>
      <c r="D55" s="23">
        <f>SUMIF('2015 Factor % to units'!B:B,B55,'2015 Factor % to units'!AY:AY)</f>
        <v>0</v>
      </c>
      <c r="E55" s="1042">
        <f t="shared" si="0"/>
        <v>3239.1360000002378</v>
      </c>
      <c r="F55" s="1042">
        <f t="shared" si="1"/>
        <v>0</v>
      </c>
      <c r="G55" s="1042">
        <f t="shared" si="2"/>
        <v>3239.1360000002378</v>
      </c>
      <c r="I55" s="23"/>
      <c r="J55" s="23"/>
      <c r="K55" s="23"/>
    </row>
    <row r="56" spans="1:11" x14ac:dyDescent="0.2">
      <c r="A56" s="9" t="s">
        <v>52</v>
      </c>
      <c r="B56" s="10">
        <v>2000</v>
      </c>
      <c r="C56" s="23">
        <f>SUMIF('2015 Factor % to units'!B:B,B56,'2015 Factor % to units'!AX:AX)</f>
        <v>9.5067484662578039</v>
      </c>
      <c r="D56" s="23">
        <f>SUMIF('2015 Factor % to units'!B:B,B56,'2015 Factor % to units'!AY:AY)</f>
        <v>0</v>
      </c>
      <c r="E56" s="1042">
        <f t="shared" si="0"/>
        <v>11405.056000000162</v>
      </c>
      <c r="F56" s="1042">
        <f t="shared" si="1"/>
        <v>0</v>
      </c>
      <c r="G56" s="1042">
        <f t="shared" si="2"/>
        <v>11405.056000000162</v>
      </c>
      <c r="I56" s="23"/>
      <c r="J56" s="23"/>
      <c r="K56" s="23"/>
    </row>
    <row r="57" spans="1:11" x14ac:dyDescent="0.2">
      <c r="A57" s="9" t="s">
        <v>53</v>
      </c>
      <c r="B57" s="10">
        <v>2458</v>
      </c>
      <c r="C57" s="23">
        <f>SUMIF('2015 Factor % to units'!B:B,B57,'2015 Factor % to units'!AX:AX)</f>
        <v>0</v>
      </c>
      <c r="D57" s="23">
        <f>SUMIF('2015 Factor % to units'!B:B,B57,'2015 Factor % to units'!AY:AY)</f>
        <v>0</v>
      </c>
      <c r="E57" s="1042">
        <f t="shared" si="0"/>
        <v>0</v>
      </c>
      <c r="F57" s="1042">
        <f t="shared" si="1"/>
        <v>0</v>
      </c>
      <c r="G57" s="1042">
        <f t="shared" si="2"/>
        <v>0</v>
      </c>
      <c r="I57" s="23"/>
      <c r="J57" s="23"/>
      <c r="K57" s="23"/>
    </row>
    <row r="58" spans="1:11" x14ac:dyDescent="0.2">
      <c r="A58" s="9" t="s">
        <v>54</v>
      </c>
      <c r="B58" s="10">
        <v>2001</v>
      </c>
      <c r="C58" s="23">
        <f>SUMIF('2015 Factor % to units'!B:B,B58,'2015 Factor % to units'!AX:AX)</f>
        <v>9.6999999999998217</v>
      </c>
      <c r="D58" s="23">
        <f>SUMIF('2015 Factor % to units'!B:B,B58,'2015 Factor % to units'!AY:AY)</f>
        <v>0</v>
      </c>
      <c r="E58" s="1042">
        <f t="shared" si="0"/>
        <v>11636.895999999786</v>
      </c>
      <c r="F58" s="1042">
        <f t="shared" si="1"/>
        <v>0</v>
      </c>
      <c r="G58" s="1042">
        <f t="shared" si="2"/>
        <v>11636.895999999786</v>
      </c>
      <c r="I58" s="23"/>
      <c r="J58" s="23"/>
      <c r="K58" s="23"/>
    </row>
    <row r="59" spans="1:11" x14ac:dyDescent="0.2">
      <c r="A59" s="9" t="s">
        <v>55</v>
      </c>
      <c r="B59" s="10">
        <v>2429</v>
      </c>
      <c r="C59" s="23">
        <f>SUMIF('2015 Factor % to units'!B:B,B59,'2015 Factor % to units'!AX:AX)</f>
        <v>0</v>
      </c>
      <c r="D59" s="23">
        <f>SUMIF('2015 Factor % to units'!B:B,B59,'2015 Factor % to units'!AY:AY)</f>
        <v>0</v>
      </c>
      <c r="E59" s="1042">
        <f t="shared" si="0"/>
        <v>0</v>
      </c>
      <c r="F59" s="1042">
        <f t="shared" si="1"/>
        <v>0</v>
      </c>
      <c r="G59" s="1042">
        <f t="shared" si="2"/>
        <v>0</v>
      </c>
      <c r="I59" s="23"/>
      <c r="J59" s="23"/>
      <c r="K59" s="23"/>
    </row>
    <row r="60" spans="1:11" x14ac:dyDescent="0.2">
      <c r="A60" s="9" t="s">
        <v>56</v>
      </c>
      <c r="B60" s="10">
        <v>2444</v>
      </c>
      <c r="C60" s="23">
        <f>SUMIF('2015 Factor % to units'!B:B,B60,'2015 Factor % to units'!AX:AX)</f>
        <v>0</v>
      </c>
      <c r="D60" s="23">
        <f>SUMIF('2015 Factor % to units'!B:B,B60,'2015 Factor % to units'!AY:AY)</f>
        <v>0</v>
      </c>
      <c r="E60" s="1042">
        <f t="shared" si="0"/>
        <v>0</v>
      </c>
      <c r="F60" s="1042">
        <f t="shared" si="1"/>
        <v>0</v>
      </c>
      <c r="G60" s="1042">
        <f t="shared" si="2"/>
        <v>0</v>
      </c>
      <c r="I60" s="23"/>
      <c r="J60" s="23"/>
      <c r="K60" s="23"/>
    </row>
    <row r="61" spans="1:11" x14ac:dyDescent="0.2">
      <c r="A61" s="9" t="s">
        <v>57</v>
      </c>
      <c r="B61" s="10">
        <v>5209</v>
      </c>
      <c r="C61" s="23">
        <f>SUMIF('2015 Factor % to units'!B:B,B61,'2015 Factor % to units'!AX:AX)</f>
        <v>0</v>
      </c>
      <c r="D61" s="23">
        <f>SUMIF('2015 Factor % to units'!B:B,B61,'2015 Factor % to units'!AY:AY)</f>
        <v>0</v>
      </c>
      <c r="E61" s="1042">
        <f t="shared" si="0"/>
        <v>0</v>
      </c>
      <c r="F61" s="1042">
        <f t="shared" si="1"/>
        <v>0</v>
      </c>
      <c r="G61" s="1042">
        <f t="shared" si="2"/>
        <v>0</v>
      </c>
      <c r="I61" s="23"/>
      <c r="J61" s="23"/>
      <c r="K61" s="23"/>
    </row>
    <row r="62" spans="1:11" x14ac:dyDescent="0.2">
      <c r="A62" s="9" t="s">
        <v>58</v>
      </c>
      <c r="B62" s="10">
        <v>2469</v>
      </c>
      <c r="C62" s="23">
        <f>SUMIF('2015 Factor % to units'!B:B,B62,'2015 Factor % to units'!AX:AX)</f>
        <v>0</v>
      </c>
      <c r="D62" s="23">
        <f>SUMIF('2015 Factor % to units'!B:B,B62,'2015 Factor % to units'!AY:AY)</f>
        <v>0</v>
      </c>
      <c r="E62" s="1042">
        <f t="shared" si="0"/>
        <v>0</v>
      </c>
      <c r="F62" s="1042">
        <f t="shared" si="1"/>
        <v>0</v>
      </c>
      <c r="G62" s="1042">
        <f t="shared" si="2"/>
        <v>0</v>
      </c>
      <c r="I62" s="23"/>
      <c r="J62" s="23"/>
      <c r="K62" s="23"/>
    </row>
    <row r="63" spans="1:11" x14ac:dyDescent="0.2">
      <c r="A63" s="22" t="s">
        <v>451</v>
      </c>
      <c r="B63" s="10">
        <v>2430</v>
      </c>
      <c r="C63" s="23">
        <f>SUMIF('2015 Factor % to units'!B:B,B63,'2015 Factor % to units'!AX:AX)</f>
        <v>14.000000000000041</v>
      </c>
      <c r="D63" s="23">
        <f>SUMIF('2015 Factor % to units'!B:B,B63,'2015 Factor % to units'!AY:AY)</f>
        <v>0</v>
      </c>
      <c r="E63" s="1042">
        <f t="shared" si="0"/>
        <v>16795.520000000051</v>
      </c>
      <c r="F63" s="1042">
        <f t="shared" si="1"/>
        <v>0</v>
      </c>
      <c r="G63" s="1042">
        <f t="shared" si="2"/>
        <v>16795.520000000051</v>
      </c>
      <c r="I63" s="23"/>
      <c r="J63" s="23"/>
      <c r="K63" s="23"/>
    </row>
    <row r="64" spans="1:11" x14ac:dyDescent="0.2">
      <c r="A64" s="9" t="s">
        <v>59</v>
      </c>
      <c r="B64" s="10">
        <v>2466</v>
      </c>
      <c r="C64" s="23">
        <f>SUMIF('2015 Factor % to units'!B:B,B64,'2015 Factor % to units'!AX:AX)</f>
        <v>27.387804878048694</v>
      </c>
      <c r="D64" s="23">
        <f>SUMIF('2015 Factor % to units'!B:B,B64,'2015 Factor % to units'!AY:AY)</f>
        <v>0</v>
      </c>
      <c r="E64" s="1042">
        <f t="shared" si="0"/>
        <v>32856.601756097458</v>
      </c>
      <c r="F64" s="1042">
        <f t="shared" si="1"/>
        <v>0</v>
      </c>
      <c r="G64" s="1042">
        <f t="shared" si="2"/>
        <v>32856.601756097458</v>
      </c>
      <c r="I64" s="23"/>
      <c r="J64" s="23"/>
      <c r="K64" s="23"/>
    </row>
    <row r="65" spans="1:11" x14ac:dyDescent="0.2">
      <c r="A65" s="9" t="s">
        <v>60</v>
      </c>
      <c r="B65" s="10">
        <v>3543</v>
      </c>
      <c r="C65" s="23">
        <f>SUMIF('2015 Factor % to units'!B:B,B65,'2015 Factor % to units'!AX:AX)</f>
        <v>0</v>
      </c>
      <c r="D65" s="23">
        <f>SUMIF('2015 Factor % to units'!B:B,B65,'2015 Factor % to units'!AY:AY)</f>
        <v>0</v>
      </c>
      <c r="E65" s="1042">
        <f t="shared" si="0"/>
        <v>0</v>
      </c>
      <c r="F65" s="1042">
        <f t="shared" si="1"/>
        <v>0</v>
      </c>
      <c r="G65" s="1042">
        <f t="shared" si="2"/>
        <v>0</v>
      </c>
      <c r="I65" s="23"/>
      <c r="J65" s="23"/>
      <c r="K65" s="23"/>
    </row>
    <row r="66" spans="1:11" x14ac:dyDescent="0.2">
      <c r="A66" s="9" t="s">
        <v>62</v>
      </c>
      <c r="B66" s="10">
        <v>3531</v>
      </c>
      <c r="C66" s="23">
        <f>SUMIF('2015 Factor % to units'!B:B,B66,'2015 Factor % to units'!AX:AX)</f>
        <v>0</v>
      </c>
      <c r="D66" s="23">
        <f>SUMIF('2015 Factor % to units'!B:B,B66,'2015 Factor % to units'!AY:AY)</f>
        <v>0</v>
      </c>
      <c r="E66" s="1042">
        <f t="shared" si="0"/>
        <v>0</v>
      </c>
      <c r="F66" s="1042">
        <f t="shared" si="1"/>
        <v>0</v>
      </c>
      <c r="G66" s="1042">
        <f t="shared" si="2"/>
        <v>0</v>
      </c>
      <c r="I66" s="23"/>
      <c r="J66" s="23"/>
      <c r="K66" s="23"/>
    </row>
    <row r="67" spans="1:11" x14ac:dyDescent="0.2">
      <c r="A67" s="9" t="s">
        <v>103</v>
      </c>
      <c r="B67" s="10">
        <v>3526</v>
      </c>
      <c r="C67" s="23">
        <f>SUMIF('2015 Factor % to units'!B:B,B67,'2015 Factor % to units'!AX:AX)</f>
        <v>3.4999999999999734</v>
      </c>
      <c r="D67" s="23">
        <f>SUMIF('2015 Factor % to units'!B:B,B67,'2015 Factor % to units'!AY:AY)</f>
        <v>0</v>
      </c>
      <c r="E67" s="1042">
        <f t="shared" si="0"/>
        <v>4198.8799999999683</v>
      </c>
      <c r="F67" s="1042">
        <f t="shared" si="1"/>
        <v>0</v>
      </c>
      <c r="G67" s="1042">
        <f t="shared" si="2"/>
        <v>4198.8799999999683</v>
      </c>
      <c r="I67" s="23"/>
      <c r="J67" s="23"/>
      <c r="K67" s="23"/>
    </row>
    <row r="68" spans="1:11" x14ac:dyDescent="0.2">
      <c r="A68" s="9" t="s">
        <v>104</v>
      </c>
      <c r="B68" s="10">
        <v>3535</v>
      </c>
      <c r="C68" s="23">
        <f>SUMIF('2015 Factor % to units'!B:B,B68,'2015 Factor % to units'!AX:AX)</f>
        <v>0</v>
      </c>
      <c r="D68" s="23">
        <f>SUMIF('2015 Factor % to units'!B:B,B68,'2015 Factor % to units'!AY:AY)</f>
        <v>0</v>
      </c>
      <c r="E68" s="1042">
        <f t="shared" si="0"/>
        <v>0</v>
      </c>
      <c r="F68" s="1042">
        <f t="shared" si="1"/>
        <v>0</v>
      </c>
      <c r="G68" s="1042">
        <f t="shared" si="2"/>
        <v>0</v>
      </c>
      <c r="I68" s="23"/>
      <c r="J68" s="23"/>
      <c r="K68" s="23"/>
    </row>
    <row r="69" spans="1:11" x14ac:dyDescent="0.2">
      <c r="A69" s="12" t="s">
        <v>64</v>
      </c>
      <c r="B69" s="10">
        <v>2008</v>
      </c>
      <c r="C69" s="23">
        <f>SUMIF('2015 Factor % to units'!B:B,B69,'2015 Factor % to units'!AX:AX)</f>
        <v>0</v>
      </c>
      <c r="D69" s="23">
        <f>SUMIF('2015 Factor % to units'!B:B,B69,'2015 Factor % to units'!AY:AY)</f>
        <v>0</v>
      </c>
      <c r="E69" s="1042">
        <f t="shared" si="0"/>
        <v>0</v>
      </c>
      <c r="F69" s="1042">
        <f t="shared" si="1"/>
        <v>0</v>
      </c>
      <c r="G69" s="1042">
        <f t="shared" si="2"/>
        <v>0</v>
      </c>
      <c r="I69" s="23"/>
      <c r="J69" s="23"/>
      <c r="K69" s="23"/>
    </row>
    <row r="70" spans="1:11" x14ac:dyDescent="0.2">
      <c r="A70" s="9" t="s">
        <v>105</v>
      </c>
      <c r="B70" s="10">
        <v>3542</v>
      </c>
      <c r="C70" s="23">
        <f>SUMIF('2015 Factor % to units'!B:B,B70,'2015 Factor % to units'!AX:AX)</f>
        <v>0</v>
      </c>
      <c r="D70" s="23">
        <f>SUMIF('2015 Factor % to units'!B:B,B70,'2015 Factor % to units'!AY:AY)</f>
        <v>0</v>
      </c>
      <c r="E70" s="1042">
        <f t="shared" si="0"/>
        <v>0</v>
      </c>
      <c r="F70" s="1042">
        <f t="shared" si="1"/>
        <v>0</v>
      </c>
      <c r="G70" s="1042">
        <f t="shared" si="2"/>
        <v>0</v>
      </c>
      <c r="I70" s="23"/>
      <c r="J70" s="23"/>
      <c r="K70" s="23"/>
    </row>
    <row r="71" spans="1:11" x14ac:dyDescent="0.2">
      <c r="A71" s="9" t="s">
        <v>106</v>
      </c>
      <c r="B71" s="10">
        <v>3528</v>
      </c>
      <c r="C71" s="23">
        <f>SUMIF('2015 Factor % to units'!B:B,B71,'2015 Factor % to units'!AX:AX)</f>
        <v>12.300000000000159</v>
      </c>
      <c r="D71" s="23">
        <f>SUMIF('2015 Factor % to units'!B:B,B71,'2015 Factor % to units'!AY:AY)</f>
        <v>0</v>
      </c>
      <c r="E71" s="1042">
        <f t="shared" si="0"/>
        <v>14756.064000000191</v>
      </c>
      <c r="F71" s="1042">
        <f t="shared" si="1"/>
        <v>0</v>
      </c>
      <c r="G71" s="1042">
        <f t="shared" si="2"/>
        <v>14756.064000000191</v>
      </c>
      <c r="I71" s="23"/>
      <c r="J71" s="23"/>
      <c r="K71" s="23"/>
    </row>
    <row r="72" spans="1:11" x14ac:dyDescent="0.2">
      <c r="A72" s="9" t="s">
        <v>107</v>
      </c>
      <c r="B72" s="10">
        <v>3534</v>
      </c>
      <c r="C72" s="23">
        <f>SUMIF('2015 Factor % to units'!B:B,B72,'2015 Factor % to units'!AX:AX)</f>
        <v>0</v>
      </c>
      <c r="D72" s="23">
        <f>SUMIF('2015 Factor % to units'!B:B,B72,'2015 Factor % to units'!AY:AY)</f>
        <v>0</v>
      </c>
      <c r="E72" s="1042">
        <f t="shared" ref="E72:E77" si="3">E$1*C72</f>
        <v>0</v>
      </c>
      <c r="F72" s="1042">
        <f t="shared" ref="F72:F77" si="4">F$2*D72</f>
        <v>0</v>
      </c>
      <c r="G72" s="1042">
        <f t="shared" ref="G72:G77" si="5">F72+E72</f>
        <v>0</v>
      </c>
      <c r="I72" s="23"/>
      <c r="J72" s="23"/>
      <c r="K72" s="23"/>
    </row>
    <row r="73" spans="1:11" x14ac:dyDescent="0.2">
      <c r="A73" s="9" t="s">
        <v>108</v>
      </c>
      <c r="B73" s="10">
        <v>3532</v>
      </c>
      <c r="C73" s="23">
        <f>SUMIF('2015 Factor % to units'!B:B,B73,'2015 Factor % to units'!AX:AX)</f>
        <v>0</v>
      </c>
      <c r="D73" s="23">
        <f>SUMIF('2015 Factor % to units'!B:B,B73,'2015 Factor % to units'!AY:AY)</f>
        <v>0</v>
      </c>
      <c r="E73" s="1042">
        <f t="shared" si="3"/>
        <v>0</v>
      </c>
      <c r="F73" s="1042">
        <f t="shared" si="4"/>
        <v>0</v>
      </c>
      <c r="G73" s="1042">
        <f t="shared" si="5"/>
        <v>0</v>
      </c>
      <c r="I73" s="23"/>
      <c r="J73" s="23"/>
      <c r="K73" s="23"/>
    </row>
    <row r="74" spans="1:11" x14ac:dyDescent="0.2">
      <c r="A74" s="9" t="s">
        <v>65</v>
      </c>
      <c r="B74" s="10">
        <v>3546</v>
      </c>
      <c r="C74" s="23">
        <f>SUMIF('2015 Factor % to units'!B:B,B74,'2015 Factor % to units'!AX:AX)</f>
        <v>0</v>
      </c>
      <c r="D74" s="23">
        <f>SUMIF('2015 Factor % to units'!B:B,B74,'2015 Factor % to units'!AY:AY)</f>
        <v>0</v>
      </c>
      <c r="E74" s="1042">
        <f t="shared" si="3"/>
        <v>0</v>
      </c>
      <c r="F74" s="1042">
        <f t="shared" si="4"/>
        <v>0</v>
      </c>
      <c r="G74" s="1042">
        <f t="shared" si="5"/>
        <v>0</v>
      </c>
      <c r="I74" s="23"/>
      <c r="J74" s="23"/>
      <c r="K74" s="23"/>
    </row>
    <row r="75" spans="1:11" x14ac:dyDescent="0.2">
      <c r="A75" s="9" t="s">
        <v>109</v>
      </c>
      <c r="B75" s="10">
        <v>3530</v>
      </c>
      <c r="C75" s="23">
        <f>SUMIF('2015 Factor % to units'!B:B,B75,'2015 Factor % to units'!AX:AX)</f>
        <v>0</v>
      </c>
      <c r="D75" s="23">
        <f>SUMIF('2015 Factor % to units'!B:B,B75,'2015 Factor % to units'!AY:AY)</f>
        <v>0</v>
      </c>
      <c r="E75" s="1042">
        <f t="shared" si="3"/>
        <v>0</v>
      </c>
      <c r="F75" s="1042">
        <f t="shared" si="4"/>
        <v>0</v>
      </c>
      <c r="G75" s="1042">
        <f t="shared" si="5"/>
        <v>0</v>
      </c>
      <c r="I75" s="23"/>
      <c r="J75" s="23"/>
      <c r="K75" s="23"/>
    </row>
    <row r="76" spans="1:11" x14ac:dyDescent="0.2">
      <c r="A76" s="9" t="s">
        <v>67</v>
      </c>
      <c r="B76" s="10">
        <v>2459</v>
      </c>
      <c r="C76" s="23">
        <f>SUMIF('2015 Factor % to units'!B:B,B76,'2015 Factor % to units'!AX:AX)</f>
        <v>0</v>
      </c>
      <c r="D76" s="23">
        <f>SUMIF('2015 Factor % to units'!B:B,B76,'2015 Factor % to units'!AY:AY)</f>
        <v>0</v>
      </c>
      <c r="E76" s="1042">
        <f t="shared" si="3"/>
        <v>0</v>
      </c>
      <c r="F76" s="1042">
        <f t="shared" si="4"/>
        <v>0</v>
      </c>
      <c r="G76" s="1042">
        <f t="shared" si="5"/>
        <v>0</v>
      </c>
      <c r="I76" s="23"/>
      <c r="J76" s="23"/>
      <c r="K76" s="23"/>
    </row>
    <row r="77" spans="1:11" x14ac:dyDescent="0.2">
      <c r="A77" s="9" t="s">
        <v>912</v>
      </c>
      <c r="B77" s="10">
        <v>4000</v>
      </c>
      <c r="C77" s="23">
        <f>SUMIF('2015 Factor % to units'!B:B,B77,'2015 Factor % to units'!AX:AX)</f>
        <v>5.9050314465409741</v>
      </c>
      <c r="D77" s="23">
        <f>SUMIF('2015 Factor % to units'!B:B,B77,'2015 Factor % to units'!AY:AY)</f>
        <v>0</v>
      </c>
      <c r="E77" s="1042">
        <f t="shared" si="3"/>
        <v>7084.1481257862761</v>
      </c>
      <c r="F77" s="1042">
        <f t="shared" si="4"/>
        <v>0</v>
      </c>
      <c r="G77" s="1042">
        <f t="shared" si="5"/>
        <v>7084.1481257862761</v>
      </c>
      <c r="I77" s="23"/>
      <c r="J77" s="23"/>
      <c r="K77" s="23"/>
    </row>
    <row r="78" spans="1:11" x14ac:dyDescent="0.2">
      <c r="A78" s="9"/>
      <c r="B78" s="10"/>
      <c r="C78" s="23"/>
      <c r="D78" s="23"/>
      <c r="E78" s="1042"/>
      <c r="F78" s="1042"/>
      <c r="G78" s="23"/>
      <c r="I78" s="23"/>
      <c r="J78" s="23"/>
      <c r="K78" s="23"/>
    </row>
    <row r="79" spans="1:11" x14ac:dyDescent="0.2">
      <c r="A79" s="1" t="s">
        <v>110</v>
      </c>
      <c r="B79" s="1" t="s">
        <v>110</v>
      </c>
      <c r="C79" s="29">
        <f>SUM(C7:C77)</f>
        <v>345.44196118978471</v>
      </c>
      <c r="D79" s="29">
        <f>SUM(D7:D77)</f>
        <v>0</v>
      </c>
      <c r="E79" s="29">
        <f>SUM(E7:E77)</f>
        <v>414419.81200016075</v>
      </c>
      <c r="F79" s="29">
        <f>SUM(F7:F77)</f>
        <v>0</v>
      </c>
      <c r="G79" s="29">
        <f>SUM(G7:G77)</f>
        <v>414419.81200016075</v>
      </c>
      <c r="I79" s="23"/>
      <c r="J79" s="23"/>
      <c r="K79" s="23"/>
    </row>
    <row r="80" spans="1:11" x14ac:dyDescent="0.2">
      <c r="A80" s="9"/>
      <c r="B80" s="10"/>
      <c r="C80" s="23"/>
      <c r="D80" s="23"/>
      <c r="E80" s="1042"/>
      <c r="F80" s="1042"/>
      <c r="G80" s="23"/>
      <c r="I80" s="23"/>
      <c r="J80" s="23"/>
      <c r="K80" s="23"/>
    </row>
    <row r="81" spans="1:11" x14ac:dyDescent="0.2">
      <c r="A81" s="9" t="s">
        <v>75</v>
      </c>
      <c r="B81" s="10">
        <v>5402</v>
      </c>
      <c r="C81" s="23">
        <f>SUMIF('2015 Factor % to units'!B:B,B81,'2015 Factor % to units'!AX:AX)</f>
        <v>0</v>
      </c>
      <c r="D81" s="23">
        <f>SUMIF('2015 Factor % to units'!B:B,B81,'2015 Factor % to units'!AY:AY)</f>
        <v>0</v>
      </c>
      <c r="E81" s="1042">
        <f>E$1*C81</f>
        <v>0</v>
      </c>
      <c r="F81" s="1042">
        <f>F$2*D81</f>
        <v>0</v>
      </c>
      <c r="G81" s="1042">
        <f t="shared" ref="G81:G93" si="6">F81+E81</f>
        <v>0</v>
      </c>
      <c r="I81" s="23"/>
      <c r="J81" s="23"/>
      <c r="K81" s="23"/>
    </row>
    <row r="82" spans="1:11" x14ac:dyDescent="0.2">
      <c r="A82" s="9" t="s">
        <v>68</v>
      </c>
      <c r="B82" s="10">
        <v>4608</v>
      </c>
      <c r="C82" s="23">
        <f>SUMIF('2015 Factor % to units'!B:B,B82,'2015 Factor % to units'!AX:AX)</f>
        <v>0</v>
      </c>
      <c r="D82" s="23">
        <f>SUMIF('2015 Factor % to units'!B:B,B82,'2015 Factor % to units'!AY:AY)</f>
        <v>0</v>
      </c>
      <c r="E82" s="1042">
        <f t="shared" ref="E82:E93" si="7">E$1*C82</f>
        <v>0</v>
      </c>
      <c r="F82" s="1042">
        <f t="shared" ref="F82:F93" si="8">F$2*D82</f>
        <v>0</v>
      </c>
      <c r="G82" s="1042">
        <f t="shared" si="6"/>
        <v>0</v>
      </c>
      <c r="I82" s="23"/>
      <c r="J82" s="23"/>
      <c r="K82" s="23"/>
    </row>
    <row r="83" spans="1:11" x14ac:dyDescent="0.2">
      <c r="A83" s="9" t="s">
        <v>111</v>
      </c>
      <c r="B83" s="10">
        <v>4178</v>
      </c>
      <c r="C83" s="23">
        <f>SUMIF('2015 Factor % to units'!B:B,B83,'2015 Factor % to units'!AX:AX)</f>
        <v>0</v>
      </c>
      <c r="D83" s="23">
        <f>SUMIF('2015 Factor % to units'!B:B,B83,'2015 Factor % to units'!AY:AY)</f>
        <v>0</v>
      </c>
      <c r="E83" s="1042">
        <f t="shared" si="7"/>
        <v>0</v>
      </c>
      <c r="F83" s="1042">
        <f t="shared" si="8"/>
        <v>0</v>
      </c>
      <c r="G83" s="1042">
        <f t="shared" si="6"/>
        <v>0</v>
      </c>
      <c r="I83" s="23"/>
      <c r="J83" s="23"/>
      <c r="K83" s="23"/>
    </row>
    <row r="84" spans="1:11" x14ac:dyDescent="0.2">
      <c r="A84" s="9" t="s">
        <v>69</v>
      </c>
      <c r="B84" s="10">
        <v>4181</v>
      </c>
      <c r="C84" s="23">
        <f>SUMIF('2015 Factor % to units'!B:B,B84,'2015 Factor % to units'!AX:AX)</f>
        <v>0</v>
      </c>
      <c r="D84" s="23">
        <f>SUMIF('2015 Factor % to units'!B:B,B84,'2015 Factor % to units'!AY:AY)</f>
        <v>0</v>
      </c>
      <c r="E84" s="1042">
        <f t="shared" si="7"/>
        <v>0</v>
      </c>
      <c r="F84" s="1042">
        <f t="shared" si="8"/>
        <v>0</v>
      </c>
      <c r="G84" s="1042">
        <f t="shared" si="6"/>
        <v>0</v>
      </c>
      <c r="I84" s="23"/>
      <c r="J84" s="23"/>
      <c r="K84" s="23"/>
    </row>
    <row r="85" spans="1:11" x14ac:dyDescent="0.2">
      <c r="A85" s="9" t="s">
        <v>70</v>
      </c>
      <c r="B85" s="10">
        <v>4182</v>
      </c>
      <c r="C85" s="23">
        <f>SUMIF('2015 Factor % to units'!B:B,B85,'2015 Factor % to units'!AX:AX)</f>
        <v>0</v>
      </c>
      <c r="D85" s="23">
        <f>SUMIF('2015 Factor % to units'!B:B,B85,'2015 Factor % to units'!AY:AY)</f>
        <v>0</v>
      </c>
      <c r="E85" s="1042">
        <f t="shared" si="7"/>
        <v>0</v>
      </c>
      <c r="F85" s="1042">
        <f t="shared" si="8"/>
        <v>0</v>
      </c>
      <c r="G85" s="1042">
        <f t="shared" si="6"/>
        <v>0</v>
      </c>
      <c r="I85" s="23"/>
      <c r="J85" s="23"/>
      <c r="K85" s="23"/>
    </row>
    <row r="86" spans="1:11" x14ac:dyDescent="0.2">
      <c r="A86" s="9" t="s">
        <v>71</v>
      </c>
      <c r="B86" s="1020">
        <v>4001</v>
      </c>
      <c r="C86" s="23">
        <f>SUMIF('2015 Factor % to units'!B:B,B86,'2015 Factor % to units'!AX:AX)</f>
        <v>0</v>
      </c>
      <c r="D86" s="23">
        <f>SUMIF('2015 Factor % to units'!B:B,B86,'2015 Factor % to units'!AY:AY)</f>
        <v>0</v>
      </c>
      <c r="E86" s="1042">
        <f t="shared" si="7"/>
        <v>0</v>
      </c>
      <c r="F86" s="1042">
        <f t="shared" si="8"/>
        <v>0</v>
      </c>
      <c r="G86" s="1042">
        <f t="shared" si="6"/>
        <v>0</v>
      </c>
      <c r="H86" s="30" t="s">
        <v>1418</v>
      </c>
      <c r="I86" s="23"/>
      <c r="J86" s="23"/>
      <c r="K86" s="23"/>
    </row>
    <row r="87" spans="1:11" x14ac:dyDescent="0.2">
      <c r="A87" s="9" t="s">
        <v>112</v>
      </c>
      <c r="B87" s="10">
        <v>5406</v>
      </c>
      <c r="C87" s="23">
        <f>SUMIF('2015 Factor % to units'!B:B,B87,'2015 Factor % to units'!AX:AX)</f>
        <v>0</v>
      </c>
      <c r="D87" s="23">
        <f>SUMIF('2015 Factor % to units'!B:B,B87,'2015 Factor % to units'!AY:AY)</f>
        <v>0</v>
      </c>
      <c r="E87" s="1042">
        <f t="shared" si="7"/>
        <v>0</v>
      </c>
      <c r="F87" s="1042">
        <f t="shared" si="8"/>
        <v>0</v>
      </c>
      <c r="G87" s="1042">
        <f t="shared" si="6"/>
        <v>0</v>
      </c>
      <c r="I87" s="23"/>
      <c r="J87" s="23"/>
      <c r="K87" s="23"/>
    </row>
    <row r="88" spans="1:11" x14ac:dyDescent="0.2">
      <c r="A88" s="9" t="s">
        <v>113</v>
      </c>
      <c r="B88" s="10">
        <v>5407</v>
      </c>
      <c r="C88" s="23">
        <f>SUMIF('2015 Factor % to units'!B:B,B88,'2015 Factor % to units'!AX:AX)</f>
        <v>0</v>
      </c>
      <c r="D88" s="23">
        <f>SUMIF('2015 Factor % to units'!B:B,B88,'2015 Factor % to units'!AY:AY)</f>
        <v>0</v>
      </c>
      <c r="E88" s="1042">
        <f t="shared" si="7"/>
        <v>0</v>
      </c>
      <c r="F88" s="1042">
        <f t="shared" si="8"/>
        <v>0</v>
      </c>
      <c r="G88" s="1042">
        <f t="shared" si="6"/>
        <v>0</v>
      </c>
      <c r="I88" s="23"/>
      <c r="J88" s="23"/>
      <c r="K88" s="23"/>
    </row>
    <row r="89" spans="1:11" x14ac:dyDescent="0.2">
      <c r="A89" s="9" t="s">
        <v>72</v>
      </c>
      <c r="B89" s="10">
        <v>4607</v>
      </c>
      <c r="C89" s="23">
        <f>SUMIF('2015 Factor % to units'!B:B,B89,'2015 Factor % to units'!AX:AX)</f>
        <v>0</v>
      </c>
      <c r="D89" s="23">
        <f>SUMIF('2015 Factor % to units'!B:B,B89,'2015 Factor % to units'!AY:AY)</f>
        <v>0</v>
      </c>
      <c r="E89" s="1042">
        <f t="shared" si="7"/>
        <v>0</v>
      </c>
      <c r="F89" s="1042">
        <f t="shared" si="8"/>
        <v>0</v>
      </c>
      <c r="G89" s="1042">
        <f t="shared" si="6"/>
        <v>0</v>
      </c>
      <c r="I89" s="23"/>
      <c r="J89" s="23"/>
      <c r="K89" s="23"/>
    </row>
    <row r="90" spans="1:11" x14ac:dyDescent="0.2">
      <c r="A90" s="9" t="s">
        <v>1078</v>
      </c>
      <c r="B90" s="1020">
        <v>4002</v>
      </c>
      <c r="C90" s="23">
        <f>SUMIF('2015 Factor % to units'!B:B,B90,'2015 Factor % to units'!AX:AX)</f>
        <v>0</v>
      </c>
      <c r="D90" s="1043">
        <v>0</v>
      </c>
      <c r="E90" s="1042">
        <f t="shared" si="7"/>
        <v>0</v>
      </c>
      <c r="F90" s="1042">
        <f t="shared" si="8"/>
        <v>0</v>
      </c>
      <c r="G90" s="1042">
        <f t="shared" si="6"/>
        <v>0</v>
      </c>
      <c r="H90" s="30" t="s">
        <v>1077</v>
      </c>
      <c r="I90" s="23"/>
      <c r="J90" s="23"/>
      <c r="K90" s="23"/>
    </row>
    <row r="91" spans="1:11" x14ac:dyDescent="0.2">
      <c r="A91" s="9" t="s">
        <v>74</v>
      </c>
      <c r="B91" s="10">
        <v>5412</v>
      </c>
      <c r="C91" s="23">
        <f>SUMIF('2015 Factor % to units'!B:B,B91,'2015 Factor % to units'!AX:AX)</f>
        <v>0</v>
      </c>
      <c r="D91" s="23">
        <f>SUMIF('2015 Factor % to units'!B:B,B91,'2015 Factor % to units'!AY:AY)</f>
        <v>0</v>
      </c>
      <c r="E91" s="1042">
        <f t="shared" si="7"/>
        <v>0</v>
      </c>
      <c r="F91" s="1042">
        <f t="shared" si="8"/>
        <v>0</v>
      </c>
      <c r="G91" s="1042">
        <f t="shared" si="6"/>
        <v>0</v>
      </c>
      <c r="I91" s="23"/>
      <c r="J91" s="23"/>
      <c r="K91" s="23"/>
    </row>
    <row r="92" spans="1:11" x14ac:dyDescent="0.2">
      <c r="A92" s="9" t="s">
        <v>73</v>
      </c>
      <c r="B92" s="10">
        <v>5414</v>
      </c>
      <c r="C92" s="23">
        <f>SUMIF('2015 Factor % to units'!B:B,B92,'2015 Factor % to units'!AX:AX)</f>
        <v>0</v>
      </c>
      <c r="D92" s="23">
        <f>SUMIF('2015 Factor % to units'!B:B,B92,'2015 Factor % to units'!AY:AY)</f>
        <v>0</v>
      </c>
      <c r="E92" s="1042">
        <f t="shared" si="7"/>
        <v>0</v>
      </c>
      <c r="F92" s="1042">
        <f t="shared" si="8"/>
        <v>0</v>
      </c>
      <c r="G92" s="1042">
        <f t="shared" si="6"/>
        <v>0</v>
      </c>
      <c r="I92" s="23"/>
      <c r="J92" s="23"/>
      <c r="K92" s="23"/>
    </row>
    <row r="93" spans="1:11" x14ac:dyDescent="0.2">
      <c r="A93" s="9" t="s">
        <v>597</v>
      </c>
      <c r="B93" s="10">
        <v>6905</v>
      </c>
      <c r="C93" s="23">
        <f>SUMIF('2015 Factor % to units'!B:B,B93,'2015 Factor % to units'!AX:AX)</f>
        <v>0</v>
      </c>
      <c r="D93" s="23">
        <f>SUMIF('2015 Factor % to units'!B:B,B93,'2015 Factor % to units'!AY:AY)</f>
        <v>0</v>
      </c>
      <c r="E93" s="1042">
        <f t="shared" si="7"/>
        <v>0</v>
      </c>
      <c r="F93" s="1042">
        <f t="shared" si="8"/>
        <v>0</v>
      </c>
      <c r="G93" s="1042">
        <f t="shared" si="6"/>
        <v>0</v>
      </c>
      <c r="I93" s="23"/>
      <c r="J93" s="23"/>
      <c r="K93" s="23"/>
    </row>
    <row r="94" spans="1:11" x14ac:dyDescent="0.2">
      <c r="A94" s="9"/>
      <c r="B94" s="10"/>
      <c r="C94" s="23"/>
      <c r="D94" s="23"/>
      <c r="E94" s="23"/>
      <c r="F94" s="23"/>
      <c r="G94" s="23"/>
      <c r="I94" s="23"/>
      <c r="J94" s="23"/>
    </row>
    <row r="95" spans="1:11" x14ac:dyDescent="0.2">
      <c r="A95" s="1" t="s">
        <v>115</v>
      </c>
      <c r="B95" s="1" t="s">
        <v>115</v>
      </c>
      <c r="C95" s="29">
        <f>SUM(C81:C93)</f>
        <v>0</v>
      </c>
      <c r="D95" s="29">
        <f>SUM(D81:D93)</f>
        <v>0</v>
      </c>
      <c r="E95" s="29">
        <f>SUM(E81:E93)</f>
        <v>0</v>
      </c>
      <c r="F95" s="29">
        <f>SUM(F81:F93)</f>
        <v>0</v>
      </c>
      <c r="G95" s="29">
        <f>SUM(G81:G93)</f>
        <v>0</v>
      </c>
      <c r="I95" s="29"/>
      <c r="J95" s="29"/>
    </row>
    <row r="96" spans="1:11" x14ac:dyDescent="0.2">
      <c r="A96" s="1"/>
      <c r="B96" s="1"/>
      <c r="C96" s="29"/>
      <c r="D96" s="29"/>
      <c r="E96" s="29"/>
      <c r="F96" s="29"/>
      <c r="G96" s="29"/>
      <c r="I96" s="29"/>
      <c r="J96" s="29"/>
    </row>
    <row r="97" spans="1:11" x14ac:dyDescent="0.2">
      <c r="A97" s="9" t="s">
        <v>114</v>
      </c>
      <c r="B97" s="10">
        <v>4177</v>
      </c>
      <c r="C97" s="23">
        <f>SUMIF('2015 Factor % to units'!B:B,B97,'2015 Factor % to units'!AX:AX)</f>
        <v>0</v>
      </c>
      <c r="D97" s="23">
        <f>SUMIF('2015 Factor % to units'!B:B,B97,'2015 Factor % to units'!AY:AY)</f>
        <v>76.23957703927465</v>
      </c>
      <c r="E97" s="1042">
        <f t="shared" ref="E97" si="9">E$1*C97</f>
        <v>0</v>
      </c>
      <c r="F97" s="1042">
        <f t="shared" ref="F97" si="10">F$2*D97</f>
        <v>154050.0019478242</v>
      </c>
      <c r="G97" s="1042">
        <f t="shared" ref="G97" si="11">F97+E97</f>
        <v>154050.0019478242</v>
      </c>
      <c r="I97" s="23"/>
      <c r="J97" s="23"/>
      <c r="K97" s="23"/>
    </row>
    <row r="98" spans="1:11" x14ac:dyDescent="0.2">
      <c r="A98" s="1"/>
      <c r="B98" s="1"/>
      <c r="C98" s="29"/>
      <c r="D98" s="29"/>
      <c r="E98" s="29"/>
      <c r="F98" s="29"/>
      <c r="G98" s="29"/>
      <c r="I98" s="29"/>
      <c r="J98" s="29"/>
    </row>
    <row r="99" spans="1:11" x14ac:dyDescent="0.2">
      <c r="A99" s="1" t="s">
        <v>914</v>
      </c>
      <c r="B99" s="1" t="s">
        <v>915</v>
      </c>
      <c r="C99" s="29">
        <f>C97</f>
        <v>0</v>
      </c>
      <c r="D99" s="29">
        <f>D97</f>
        <v>76.23957703927465</v>
      </c>
      <c r="E99" s="29">
        <f>E97</f>
        <v>0</v>
      </c>
      <c r="F99" s="29">
        <f>F97</f>
        <v>154050.0019478242</v>
      </c>
      <c r="G99" s="29">
        <f>G97</f>
        <v>154050.0019478242</v>
      </c>
      <c r="I99" s="29"/>
      <c r="J99" s="29"/>
    </row>
    <row r="100" spans="1:11" x14ac:dyDescent="0.2">
      <c r="A100" s="9"/>
      <c r="B100" s="10"/>
      <c r="C100" s="1026"/>
      <c r="D100" s="1026"/>
      <c r="E100" s="1026"/>
      <c r="F100" s="1026"/>
      <c r="G100" s="1026"/>
      <c r="I100" s="1026"/>
      <c r="J100" s="1026"/>
    </row>
    <row r="101" spans="1:11" x14ac:dyDescent="0.2">
      <c r="A101" s="1" t="s">
        <v>116</v>
      </c>
      <c r="B101" s="1" t="s">
        <v>117</v>
      </c>
      <c r="C101" s="29">
        <f>C95+C79+C99</f>
        <v>345.44196118978471</v>
      </c>
      <c r="D101" s="29">
        <f>D95+D79+D99</f>
        <v>76.23957703927465</v>
      </c>
      <c r="E101" s="29">
        <f>E95+E79+E99</f>
        <v>414419.81200016075</v>
      </c>
      <c r="F101" s="29">
        <f>F95+F79+F99</f>
        <v>154050.0019478242</v>
      </c>
      <c r="G101" s="29">
        <f>G95+G79+G99</f>
        <v>568469.81394798495</v>
      </c>
      <c r="I101" s="29"/>
      <c r="J101" s="29"/>
    </row>
    <row r="102" spans="1:11" x14ac:dyDescent="0.2">
      <c r="B102" t="s">
        <v>1061</v>
      </c>
      <c r="C102" s="1044">
        <f>'2015 Factor % to units'!AX93</f>
        <v>762.74196118978455</v>
      </c>
      <c r="D102" s="1044">
        <f>'2015 Factor % to units'!AY93</f>
        <v>477.4395770392747</v>
      </c>
    </row>
    <row r="103" spans="1:11" x14ac:dyDescent="0.2">
      <c r="B103" s="1" t="s">
        <v>934</v>
      </c>
      <c r="C103" s="1045">
        <f>C102-C101</f>
        <v>417.29999999999984</v>
      </c>
      <c r="D103" s="1045">
        <f>D102-D101</f>
        <v>401.20000000000005</v>
      </c>
    </row>
    <row r="104" spans="1:11" x14ac:dyDescent="0.2">
      <c r="A104" s="30" t="s">
        <v>1079</v>
      </c>
      <c r="B104" s="1"/>
    </row>
    <row r="105" spans="1:11" x14ac:dyDescent="0.2">
      <c r="A105" s="30" t="s">
        <v>1080</v>
      </c>
      <c r="B105" s="1" t="s">
        <v>1081</v>
      </c>
      <c r="C105" s="30">
        <f>'2015 Factor % to units'!AX33</f>
        <v>117.6</v>
      </c>
    </row>
    <row r="106" spans="1:11" x14ac:dyDescent="0.2">
      <c r="A106" s="30" t="s">
        <v>1080</v>
      </c>
      <c r="B106" s="1" t="s">
        <v>1082</v>
      </c>
      <c r="D106" s="30">
        <f>'2015 Factor % to units'!AY43</f>
        <v>0</v>
      </c>
    </row>
    <row r="107" spans="1:11" x14ac:dyDescent="0.2">
      <c r="A107" s="30" t="s">
        <v>1083</v>
      </c>
      <c r="B107" s="1" t="s">
        <v>1084</v>
      </c>
      <c r="C107" s="30">
        <f>'2015 Factor % to units'!AX16</f>
        <v>147.10000000000002</v>
      </c>
    </row>
    <row r="108" spans="1:11" x14ac:dyDescent="0.2">
      <c r="A108" s="30" t="s">
        <v>1080</v>
      </c>
      <c r="B108" s="1" t="s">
        <v>1085</v>
      </c>
      <c r="D108" s="30">
        <f>'2015 Factor % to units'!AY67</f>
        <v>401.20000000000005</v>
      </c>
    </row>
    <row r="109" spans="1:11" x14ac:dyDescent="0.2">
      <c r="A109" s="30" t="s">
        <v>1080</v>
      </c>
      <c r="B109" s="1" t="s">
        <v>1086</v>
      </c>
      <c r="C109" s="30">
        <f>'2015 Factor % to units'!AX12</f>
        <v>152.60000000000008</v>
      </c>
    </row>
    <row r="110" spans="1:11" x14ac:dyDescent="0.2">
      <c r="C110" s="1046">
        <f>SUM(C105:C109)</f>
        <v>417.30000000000013</v>
      </c>
      <c r="D110" s="1046">
        <f>SUM(D105:D109)</f>
        <v>401.20000000000005</v>
      </c>
    </row>
    <row r="114" spans="1:8" x14ac:dyDescent="0.2">
      <c r="E114" s="30">
        <v>555499.60097325826</v>
      </c>
      <c r="F114" s="30">
        <v>2285527.7120416136</v>
      </c>
      <c r="G114" s="30" t="s">
        <v>1087</v>
      </c>
    </row>
    <row r="115" spans="1:8" x14ac:dyDescent="0.2">
      <c r="E115" s="985">
        <v>167595.29600000006</v>
      </c>
      <c r="G115" s="1" t="s">
        <v>1081</v>
      </c>
      <c r="H115" s="1">
        <f>E115</f>
        <v>167595.29600000006</v>
      </c>
    </row>
    <row r="116" spans="1:8" x14ac:dyDescent="0.2">
      <c r="F116" s="985">
        <v>1057786.2463499997</v>
      </c>
      <c r="G116" s="1" t="s">
        <v>1082</v>
      </c>
      <c r="H116" s="1">
        <f>F116</f>
        <v>1057786.2463499997</v>
      </c>
    </row>
    <row r="117" spans="1:8" x14ac:dyDescent="0.2">
      <c r="F117" s="985">
        <v>1123455.8795999994</v>
      </c>
      <c r="G117" s="1" t="s">
        <v>1085</v>
      </c>
      <c r="H117" s="1">
        <f>F117</f>
        <v>1123455.8795999994</v>
      </c>
    </row>
    <row r="118" spans="1:8" x14ac:dyDescent="0.2">
      <c r="E118" s="30">
        <v>0</v>
      </c>
      <c r="G118" s="1" t="s">
        <v>1086</v>
      </c>
      <c r="H118" s="1"/>
    </row>
    <row r="119" spans="1:8" x14ac:dyDescent="0.2">
      <c r="A119" s="79"/>
      <c r="B119" s="79"/>
      <c r="G119" s="1"/>
      <c r="H119" s="1"/>
    </row>
    <row r="120" spans="1:8" x14ac:dyDescent="0.2">
      <c r="A120" s="1158"/>
      <c r="B120" s="94"/>
      <c r="E120" s="30">
        <f>SUM(E115:E118)</f>
        <v>167595.29600000006</v>
      </c>
      <c r="F120" s="30">
        <f>SUM(F115:F118)</f>
        <v>2181242.1259499993</v>
      </c>
      <c r="G120" s="30">
        <f>F120+E120</f>
        <v>2348837.4219499994</v>
      </c>
    </row>
    <row r="121" spans="1:8" x14ac:dyDescent="0.2">
      <c r="A121" s="1158"/>
      <c r="B121" s="94"/>
    </row>
    <row r="122" spans="1:8" x14ac:dyDescent="0.2">
      <c r="A122" s="1158"/>
      <c r="B122" s="94"/>
      <c r="E122" s="985">
        <f>E114-E120</f>
        <v>387904.30497325817</v>
      </c>
      <c r="F122" s="985">
        <f>F114-F120</f>
        <v>104285.58609161433</v>
      </c>
    </row>
    <row r="123" spans="1:8" x14ac:dyDescent="0.2">
      <c r="A123" s="79"/>
      <c r="B123" s="79"/>
      <c r="E123" s="11">
        <f>E122-E101</f>
        <v>-26515.507026902575</v>
      </c>
      <c r="F123" s="11">
        <f>F122-F101</f>
        <v>-49764.415856209875</v>
      </c>
    </row>
    <row r="124" spans="1:8" x14ac:dyDescent="0.2">
      <c r="A124" s="1158"/>
      <c r="B124" s="94"/>
    </row>
    <row r="125" spans="1:8" x14ac:dyDescent="0.2">
      <c r="A125" s="80"/>
      <c r="B125" s="80"/>
    </row>
    <row r="126" spans="1:8" x14ac:dyDescent="0.2">
      <c r="A126" s="79"/>
      <c r="B126" s="79"/>
    </row>
    <row r="127" spans="1:8" x14ac:dyDescent="0.2">
      <c r="A127" s="1158"/>
      <c r="B127" s="94"/>
    </row>
    <row r="128" spans="1:8" x14ac:dyDescent="0.2">
      <c r="A128" s="79" t="s">
        <v>249</v>
      </c>
      <c r="B128" s="79">
        <v>206189</v>
      </c>
    </row>
    <row r="129" spans="1:2" x14ac:dyDescent="0.2">
      <c r="A129" s="1158" t="s">
        <v>10</v>
      </c>
      <c r="B129" s="94">
        <v>2012</v>
      </c>
    </row>
    <row r="130" spans="1:2" x14ac:dyDescent="0.2">
      <c r="A130" s="1158" t="s">
        <v>73</v>
      </c>
      <c r="B130" s="94">
        <v>5414</v>
      </c>
    </row>
    <row r="131" spans="1:2" x14ac:dyDescent="0.2">
      <c r="A131" s="1158" t="s">
        <v>912</v>
      </c>
      <c r="B131" s="94">
        <v>4000</v>
      </c>
    </row>
    <row r="132" spans="1:2" x14ac:dyDescent="0.2">
      <c r="A132" s="79" t="s">
        <v>11</v>
      </c>
      <c r="B132" s="79">
        <v>2443</v>
      </c>
    </row>
    <row r="133" spans="1:2" x14ac:dyDescent="0.2">
      <c r="A133" s="1158" t="s">
        <v>94</v>
      </c>
      <c r="B133" s="94">
        <v>2442</v>
      </c>
    </row>
    <row r="134" spans="1:2" x14ac:dyDescent="0.2">
      <c r="A134" s="80" t="s">
        <v>252</v>
      </c>
      <c r="B134" s="80" t="s">
        <v>253</v>
      </c>
    </row>
    <row r="135" spans="1:2" x14ac:dyDescent="0.2">
      <c r="A135" s="79" t="s">
        <v>13</v>
      </c>
      <c r="B135" s="79">
        <v>2629</v>
      </c>
    </row>
    <row r="136" spans="1:2" x14ac:dyDescent="0.2">
      <c r="A136" s="1158" t="s">
        <v>14</v>
      </c>
      <c r="B136" s="94">
        <v>2509</v>
      </c>
    </row>
    <row r="137" spans="1:2" x14ac:dyDescent="0.2">
      <c r="A137" s="79" t="s">
        <v>2</v>
      </c>
      <c r="B137" s="79">
        <v>1014</v>
      </c>
    </row>
    <row r="138" spans="1:2" x14ac:dyDescent="0.2">
      <c r="A138" s="1158" t="s">
        <v>15</v>
      </c>
      <c r="B138" s="94">
        <v>2005</v>
      </c>
    </row>
    <row r="139" spans="1:2" x14ac:dyDescent="0.2">
      <c r="A139" s="79" t="s">
        <v>16</v>
      </c>
      <c r="B139" s="79">
        <v>2464</v>
      </c>
    </row>
    <row r="140" spans="1:2" x14ac:dyDescent="0.2">
      <c r="A140" s="661" t="s">
        <v>763</v>
      </c>
      <c r="B140" s="697" t="s">
        <v>765</v>
      </c>
    </row>
    <row r="141" spans="1:2" x14ac:dyDescent="0.2">
      <c r="A141" s="79" t="s">
        <v>17</v>
      </c>
      <c r="B141" s="79">
        <v>2004</v>
      </c>
    </row>
    <row r="142" spans="1:2" x14ac:dyDescent="0.2">
      <c r="A142" s="79" t="s">
        <v>18</v>
      </c>
      <c r="B142" s="79">
        <v>2405</v>
      </c>
    </row>
    <row r="143" spans="1:2" x14ac:dyDescent="0.2">
      <c r="A143" s="79" t="s">
        <v>254</v>
      </c>
      <c r="B143" s="79" t="s">
        <v>256</v>
      </c>
    </row>
    <row r="144" spans="1:2" ht="15" x14ac:dyDescent="0.25">
      <c r="A144" s="1160" t="s">
        <v>261</v>
      </c>
      <c r="B144" s="1162" t="s">
        <v>766</v>
      </c>
    </row>
    <row r="145" spans="1:2" x14ac:dyDescent="0.2">
      <c r="A145" s="1163" t="s">
        <v>257</v>
      </c>
      <c r="B145" s="1164" t="s">
        <v>258</v>
      </c>
    </row>
    <row r="146" spans="1:2" x14ac:dyDescent="0.2">
      <c r="A146" s="1160" t="s">
        <v>259</v>
      </c>
      <c r="B146" s="1165" t="s">
        <v>260</v>
      </c>
    </row>
    <row r="147" spans="1:2" x14ac:dyDescent="0.2">
      <c r="A147" s="79" t="s">
        <v>19</v>
      </c>
      <c r="B147" s="79">
        <v>2011</v>
      </c>
    </row>
    <row r="148" spans="1:2" x14ac:dyDescent="0.2">
      <c r="A148" s="80" t="s">
        <v>262</v>
      </c>
      <c r="B148" s="80" t="s">
        <v>263</v>
      </c>
    </row>
    <row r="149" spans="1:2" x14ac:dyDescent="0.2">
      <c r="A149" s="79" t="s">
        <v>20</v>
      </c>
      <c r="B149" s="79">
        <v>5201</v>
      </c>
    </row>
    <row r="150" spans="1:2" x14ac:dyDescent="0.2">
      <c r="A150" s="79" t="s">
        <v>264</v>
      </c>
      <c r="B150" s="79">
        <v>206124</v>
      </c>
    </row>
    <row r="151" spans="1:2" x14ac:dyDescent="0.2">
      <c r="A151" s="79" t="s">
        <v>21</v>
      </c>
      <c r="B151" s="79">
        <v>2433</v>
      </c>
    </row>
    <row r="152" spans="1:2" x14ac:dyDescent="0.2">
      <c r="A152" s="1158" t="s">
        <v>22</v>
      </c>
      <c r="B152" s="94">
        <v>2432</v>
      </c>
    </row>
    <row r="153" spans="1:2" x14ac:dyDescent="0.2">
      <c r="A153" s="79" t="s">
        <v>267</v>
      </c>
      <c r="B153" s="79" t="s">
        <v>269</v>
      </c>
    </row>
    <row r="154" spans="1:2" x14ac:dyDescent="0.2">
      <c r="A154" s="79" t="s">
        <v>199</v>
      </c>
      <c r="B154" s="79">
        <v>2447</v>
      </c>
    </row>
    <row r="155" spans="1:2" x14ac:dyDescent="0.2">
      <c r="A155" s="79" t="s">
        <v>23</v>
      </c>
      <c r="B155" s="79">
        <v>2512</v>
      </c>
    </row>
    <row r="156" spans="1:2" x14ac:dyDescent="0.2">
      <c r="A156" s="79" t="s">
        <v>270</v>
      </c>
      <c r="B156" s="79">
        <v>206126</v>
      </c>
    </row>
    <row r="157" spans="1:2" x14ac:dyDescent="0.2">
      <c r="A157" s="79" t="s">
        <v>272</v>
      </c>
      <c r="B157" s="79">
        <v>206111</v>
      </c>
    </row>
    <row r="158" spans="1:2" x14ac:dyDescent="0.2">
      <c r="A158" s="79" t="s">
        <v>274</v>
      </c>
      <c r="B158" s="79">
        <v>206091</v>
      </c>
    </row>
    <row r="159" spans="1:2" x14ac:dyDescent="0.2">
      <c r="A159" s="79" t="s">
        <v>24</v>
      </c>
      <c r="B159" s="79">
        <v>2456</v>
      </c>
    </row>
    <row r="160" spans="1:2" x14ac:dyDescent="0.2">
      <c r="A160" s="79" t="s">
        <v>3</v>
      </c>
      <c r="B160" s="79">
        <v>1017</v>
      </c>
    </row>
    <row r="161" spans="1:2" x14ac:dyDescent="0.2">
      <c r="A161" s="79" t="s">
        <v>25</v>
      </c>
      <c r="B161" s="79">
        <v>2449</v>
      </c>
    </row>
    <row r="162" spans="1:2" x14ac:dyDescent="0.2">
      <c r="A162" s="1158" t="s">
        <v>26</v>
      </c>
      <c r="B162" s="79">
        <v>2448</v>
      </c>
    </row>
    <row r="163" spans="1:2" x14ac:dyDescent="0.2">
      <c r="A163" s="79" t="s">
        <v>4</v>
      </c>
      <c r="B163" s="79">
        <v>1006</v>
      </c>
    </row>
    <row r="164" spans="1:2" x14ac:dyDescent="0.2">
      <c r="A164" s="79" t="s">
        <v>27</v>
      </c>
      <c r="B164" s="79">
        <v>2467</v>
      </c>
    </row>
    <row r="165" spans="1:2" x14ac:dyDescent="0.2">
      <c r="A165" s="1158" t="s">
        <v>75</v>
      </c>
      <c r="B165" s="94">
        <v>5402</v>
      </c>
    </row>
    <row r="166" spans="1:2" x14ac:dyDescent="0.2">
      <c r="A166" s="1158" t="s">
        <v>28</v>
      </c>
      <c r="B166" s="94">
        <v>2455</v>
      </c>
    </row>
    <row r="167" spans="1:2" x14ac:dyDescent="0.2">
      <c r="A167" s="1158" t="s">
        <v>29</v>
      </c>
      <c r="B167" s="94">
        <v>5203</v>
      </c>
    </row>
    <row r="168" spans="1:2" x14ac:dyDescent="0.2">
      <c r="A168" s="107" t="s">
        <v>30</v>
      </c>
      <c r="B168" s="79">
        <v>2451</v>
      </c>
    </row>
    <row r="169" spans="1:2" x14ac:dyDescent="0.2">
      <c r="A169" s="80" t="s">
        <v>276</v>
      </c>
      <c r="B169" s="80" t="s">
        <v>277</v>
      </c>
    </row>
    <row r="170" spans="1:2" x14ac:dyDescent="0.2">
      <c r="A170" s="79" t="s">
        <v>278</v>
      </c>
      <c r="B170" s="79">
        <v>206128</v>
      </c>
    </row>
    <row r="171" spans="1:2" x14ac:dyDescent="0.2">
      <c r="A171" s="1158" t="s">
        <v>452</v>
      </c>
      <c r="B171" s="94">
        <v>4002</v>
      </c>
    </row>
    <row r="172" spans="1:2" x14ac:dyDescent="0.2">
      <c r="A172" s="456" t="s">
        <v>455</v>
      </c>
      <c r="B172" s="79">
        <v>2430</v>
      </c>
    </row>
    <row r="173" spans="1:2" x14ac:dyDescent="0.2">
      <c r="A173" s="1167" t="s">
        <v>768</v>
      </c>
      <c r="B173" s="1169" t="s">
        <v>769</v>
      </c>
    </row>
    <row r="174" spans="1:2" x14ac:dyDescent="0.2">
      <c r="A174" s="1158" t="s">
        <v>68</v>
      </c>
      <c r="B174" s="94">
        <v>4608</v>
      </c>
    </row>
    <row r="175" spans="1:2" x14ac:dyDescent="0.2">
      <c r="A175" s="1158" t="s">
        <v>31</v>
      </c>
      <c r="B175" s="94">
        <v>2409</v>
      </c>
    </row>
    <row r="176" spans="1:2" x14ac:dyDescent="0.2">
      <c r="A176" s="1170" t="s">
        <v>281</v>
      </c>
      <c r="B176" s="1168" t="s">
        <v>282</v>
      </c>
    </row>
    <row r="177" spans="1:2" x14ac:dyDescent="0.2">
      <c r="A177" s="1171" t="s">
        <v>1401</v>
      </c>
      <c r="B177" s="1173" t="s">
        <v>771</v>
      </c>
    </row>
    <row r="178" spans="1:2" x14ac:dyDescent="0.2">
      <c r="A178" s="1174" t="s">
        <v>539</v>
      </c>
      <c r="B178" s="96">
        <v>205921</v>
      </c>
    </row>
    <row r="179" spans="1:2" x14ac:dyDescent="0.2">
      <c r="A179" s="1171" t="s">
        <v>1372</v>
      </c>
      <c r="B179" s="1154" t="s">
        <v>776</v>
      </c>
    </row>
    <row r="180" spans="1:2" x14ac:dyDescent="0.2">
      <c r="A180" s="1174" t="s">
        <v>538</v>
      </c>
      <c r="B180" s="96">
        <v>205999</v>
      </c>
    </row>
    <row r="181" spans="1:2" x14ac:dyDescent="0.2">
      <c r="A181" s="96" t="s">
        <v>537</v>
      </c>
      <c r="B181" s="95" t="s">
        <v>283</v>
      </c>
    </row>
    <row r="182" spans="1:2" x14ac:dyDescent="0.2">
      <c r="A182" s="1171" t="s">
        <v>1373</v>
      </c>
      <c r="B182" s="1153">
        <v>206065</v>
      </c>
    </row>
    <row r="183" spans="1:2" x14ac:dyDescent="0.2">
      <c r="A183" s="1175" t="s">
        <v>1375</v>
      </c>
      <c r="B183" s="1154" t="s">
        <v>787</v>
      </c>
    </row>
    <row r="184" spans="1:2" x14ac:dyDescent="0.2">
      <c r="A184" s="456" t="s">
        <v>589</v>
      </c>
      <c r="B184" s="1176" t="s">
        <v>288</v>
      </c>
    </row>
    <row r="185" spans="1:2" x14ac:dyDescent="0.2">
      <c r="A185" s="1177" t="s">
        <v>540</v>
      </c>
      <c r="B185" s="96">
        <v>205922</v>
      </c>
    </row>
    <row r="186" spans="1:2" x14ac:dyDescent="0.2">
      <c r="A186" s="456" t="s">
        <v>587</v>
      </c>
      <c r="B186" s="1154" t="s">
        <v>784</v>
      </c>
    </row>
    <row r="187" spans="1:2" x14ac:dyDescent="0.2">
      <c r="A187" s="1171" t="s">
        <v>1374</v>
      </c>
      <c r="B187" s="1154" t="s">
        <v>781</v>
      </c>
    </row>
    <row r="188" spans="1:2" x14ac:dyDescent="0.2">
      <c r="A188" s="1171" t="s">
        <v>1376</v>
      </c>
      <c r="B188" s="1178">
        <v>205919</v>
      </c>
    </row>
    <row r="189" spans="1:2" x14ac:dyDescent="0.2">
      <c r="A189" s="96" t="s">
        <v>541</v>
      </c>
      <c r="B189" s="95" t="s">
        <v>287</v>
      </c>
    </row>
    <row r="190" spans="1:2" x14ac:dyDescent="0.2">
      <c r="A190" s="1171" t="s">
        <v>1377</v>
      </c>
      <c r="B190" s="1179" t="s">
        <v>791</v>
      </c>
    </row>
    <row r="191" spans="1:2" x14ac:dyDescent="0.2">
      <c r="A191" s="1171" t="s">
        <v>1378</v>
      </c>
      <c r="B191" s="1169" t="s">
        <v>793</v>
      </c>
    </row>
    <row r="192" spans="1:2" x14ac:dyDescent="0.2">
      <c r="A192" s="1180" t="s">
        <v>1380</v>
      </c>
      <c r="B192" s="1154" t="s">
        <v>796</v>
      </c>
    </row>
    <row r="193" spans="1:2" x14ac:dyDescent="0.2">
      <c r="A193" s="1181" t="s">
        <v>1379</v>
      </c>
      <c r="B193" s="697">
        <v>205849</v>
      </c>
    </row>
    <row r="194" spans="1:2" x14ac:dyDescent="0.2">
      <c r="A194" s="456" t="s">
        <v>594</v>
      </c>
      <c r="B194" s="1176" t="s">
        <v>284</v>
      </c>
    </row>
    <row r="195" spans="1:2" x14ac:dyDescent="0.2">
      <c r="A195" s="1182" t="s">
        <v>1381</v>
      </c>
      <c r="B195" s="1154" t="s">
        <v>798</v>
      </c>
    </row>
    <row r="196" spans="1:2" x14ac:dyDescent="0.2">
      <c r="A196" s="1183" t="s">
        <v>1385</v>
      </c>
      <c r="B196" s="1184">
        <v>205922</v>
      </c>
    </row>
    <row r="197" spans="1:2" x14ac:dyDescent="0.2">
      <c r="A197" s="1185" t="s">
        <v>1384</v>
      </c>
      <c r="B197" s="1179">
        <v>205881</v>
      </c>
    </row>
    <row r="198" spans="1:2" x14ac:dyDescent="0.2">
      <c r="A198" s="1186" t="s">
        <v>1382</v>
      </c>
      <c r="B198" s="1187" t="s">
        <v>801</v>
      </c>
    </row>
    <row r="199" spans="1:2" x14ac:dyDescent="0.2">
      <c r="A199" s="1174" t="s">
        <v>542</v>
      </c>
      <c r="B199" s="96" t="s">
        <v>289</v>
      </c>
    </row>
    <row r="200" spans="1:2" x14ac:dyDescent="0.2">
      <c r="A200" s="1171" t="s">
        <v>1383</v>
      </c>
      <c r="B200" s="1179" t="s">
        <v>806</v>
      </c>
    </row>
    <row r="201" spans="1:2" x14ac:dyDescent="0.2">
      <c r="A201" s="1185" t="s">
        <v>807</v>
      </c>
      <c r="B201" s="1179" t="s">
        <v>808</v>
      </c>
    </row>
    <row r="202" spans="1:2" x14ac:dyDescent="0.2">
      <c r="A202" s="1185" t="s">
        <v>1386</v>
      </c>
      <c r="B202" s="1189" t="s">
        <v>811</v>
      </c>
    </row>
    <row r="203" spans="1:2" x14ac:dyDescent="0.2">
      <c r="A203" s="1181" t="s">
        <v>543</v>
      </c>
      <c r="B203" s="96">
        <v>2</v>
      </c>
    </row>
    <row r="204" spans="1:2" x14ac:dyDescent="0.2">
      <c r="A204" s="1192" t="s">
        <v>1387</v>
      </c>
      <c r="B204" s="1150" t="s">
        <v>668</v>
      </c>
    </row>
    <row r="205" spans="1:2" x14ac:dyDescent="0.2">
      <c r="A205" s="693" t="s">
        <v>1388</v>
      </c>
      <c r="B205" s="1179" t="s">
        <v>686</v>
      </c>
    </row>
    <row r="206" spans="1:2" x14ac:dyDescent="0.2">
      <c r="A206" s="96" t="s">
        <v>544</v>
      </c>
      <c r="B206" s="1184">
        <v>205956</v>
      </c>
    </row>
    <row r="207" spans="1:2" x14ac:dyDescent="0.2">
      <c r="A207" s="702" t="s">
        <v>1389</v>
      </c>
      <c r="B207" s="1169">
        <v>260849</v>
      </c>
    </row>
    <row r="208" spans="1:2" x14ac:dyDescent="0.2">
      <c r="A208" s="693" t="s">
        <v>1390</v>
      </c>
      <c r="B208" s="1169" t="s">
        <v>818</v>
      </c>
    </row>
    <row r="209" spans="1:2" x14ac:dyDescent="0.2">
      <c r="A209" s="1193" t="s">
        <v>1391</v>
      </c>
      <c r="B209" s="1165" t="s">
        <v>291</v>
      </c>
    </row>
    <row r="210" spans="1:2" x14ac:dyDescent="0.2">
      <c r="A210" s="1145" t="s">
        <v>1392</v>
      </c>
      <c r="B210" s="1154" t="s">
        <v>821</v>
      </c>
    </row>
    <row r="211" spans="1:2" x14ac:dyDescent="0.2">
      <c r="A211" s="1142" t="s">
        <v>1394</v>
      </c>
      <c r="B211" s="1154" t="s">
        <v>825</v>
      </c>
    </row>
    <row r="212" spans="1:2" x14ac:dyDescent="0.2">
      <c r="A212" s="1142" t="s">
        <v>1393</v>
      </c>
      <c r="B212" s="1189" t="s">
        <v>823</v>
      </c>
    </row>
    <row r="213" spans="1:2" x14ac:dyDescent="0.2">
      <c r="A213" s="583" t="s">
        <v>1396</v>
      </c>
      <c r="B213" s="1154" t="s">
        <v>830</v>
      </c>
    </row>
    <row r="214" spans="1:2" x14ac:dyDescent="0.2">
      <c r="A214" s="1143" t="s">
        <v>1395</v>
      </c>
      <c r="B214" s="1154" t="s">
        <v>827</v>
      </c>
    </row>
    <row r="215" spans="1:2" x14ac:dyDescent="0.2">
      <c r="A215" s="1181" t="s">
        <v>591</v>
      </c>
      <c r="B215" s="95" t="s">
        <v>293</v>
      </c>
    </row>
    <row r="216" spans="1:2" x14ac:dyDescent="0.2">
      <c r="A216" s="1142" t="s">
        <v>1402</v>
      </c>
      <c r="B216" s="697" t="s">
        <v>833</v>
      </c>
    </row>
    <row r="217" spans="1:2" x14ac:dyDescent="0.2">
      <c r="A217" s="1142" t="s">
        <v>1403</v>
      </c>
      <c r="B217" s="1154" t="s">
        <v>835</v>
      </c>
    </row>
    <row r="218" spans="1:2" x14ac:dyDescent="0.2">
      <c r="A218" s="1174" t="s">
        <v>547</v>
      </c>
      <c r="B218" s="95" t="s">
        <v>295</v>
      </c>
    </row>
    <row r="219" spans="1:2" x14ac:dyDescent="0.2">
      <c r="A219" s="1148" t="s">
        <v>1397</v>
      </c>
      <c r="B219" s="1154">
        <v>206031</v>
      </c>
    </row>
    <row r="220" spans="1:2" x14ac:dyDescent="0.2">
      <c r="A220" s="1174" t="s">
        <v>546</v>
      </c>
      <c r="B220" s="95" t="s">
        <v>296</v>
      </c>
    </row>
    <row r="221" spans="1:2" x14ac:dyDescent="0.2">
      <c r="A221" s="96" t="s">
        <v>545</v>
      </c>
      <c r="B221" s="95" t="s">
        <v>294</v>
      </c>
    </row>
    <row r="222" spans="1:2" x14ac:dyDescent="0.2">
      <c r="A222" s="1143" t="s">
        <v>1398</v>
      </c>
      <c r="B222" s="1154" t="s">
        <v>840</v>
      </c>
    </row>
    <row r="223" spans="1:2" x14ac:dyDescent="0.2">
      <c r="A223" s="96" t="s">
        <v>1371</v>
      </c>
      <c r="B223" s="95" t="s">
        <v>298</v>
      </c>
    </row>
    <row r="224" spans="1:2" x14ac:dyDescent="0.2">
      <c r="A224" s="1143" t="s">
        <v>1407</v>
      </c>
      <c r="B224" s="1179" t="s">
        <v>844</v>
      </c>
    </row>
    <row r="225" spans="1:2" x14ac:dyDescent="0.2">
      <c r="A225" s="1181" t="s">
        <v>592</v>
      </c>
      <c r="B225" s="1184">
        <v>206043</v>
      </c>
    </row>
    <row r="226" spans="1:2" x14ac:dyDescent="0.2">
      <c r="A226" s="1177" t="s">
        <v>548</v>
      </c>
      <c r="B226" s="95" t="s">
        <v>299</v>
      </c>
    </row>
    <row r="227" spans="1:2" x14ac:dyDescent="0.2">
      <c r="A227" s="1194" t="s">
        <v>590</v>
      </c>
      <c r="B227" s="1195" t="s">
        <v>292</v>
      </c>
    </row>
    <row r="228" spans="1:2" x14ac:dyDescent="0.2">
      <c r="A228" s="1196" t="s">
        <v>593</v>
      </c>
      <c r="B228" s="1197" t="s">
        <v>297</v>
      </c>
    </row>
    <row r="229" spans="1:2" x14ac:dyDescent="0.2">
      <c r="A229" s="1143" t="s">
        <v>1406</v>
      </c>
      <c r="B229" s="1154">
        <v>206067</v>
      </c>
    </row>
    <row r="230" spans="1:2" ht="15" x14ac:dyDescent="0.2">
      <c r="A230" s="1177" t="s">
        <v>549</v>
      </c>
      <c r="B230" s="97" t="s">
        <v>300</v>
      </c>
    </row>
    <row r="231" spans="1:2" x14ac:dyDescent="0.2">
      <c r="A231" s="1190" t="s">
        <v>1400</v>
      </c>
      <c r="B231" s="1191" t="s">
        <v>290</v>
      </c>
    </row>
    <row r="232" spans="1:2" x14ac:dyDescent="0.2">
      <c r="A232" s="1198" t="s">
        <v>550</v>
      </c>
      <c r="B232" s="98" t="s">
        <v>301</v>
      </c>
    </row>
    <row r="233" spans="1:2" x14ac:dyDescent="0.2">
      <c r="A233" s="1147" t="s">
        <v>1404</v>
      </c>
      <c r="B233" s="1209" t="s">
        <v>854</v>
      </c>
    </row>
    <row r="234" spans="1:2" x14ac:dyDescent="0.2">
      <c r="A234" s="456" t="s">
        <v>595</v>
      </c>
      <c r="B234" s="1176" t="s">
        <v>285</v>
      </c>
    </row>
    <row r="235" spans="1:2" x14ac:dyDescent="0.2">
      <c r="A235" s="1147" t="s">
        <v>1405</v>
      </c>
      <c r="B235" s="1209" t="s">
        <v>856</v>
      </c>
    </row>
    <row r="236" spans="1:2" x14ac:dyDescent="0.2">
      <c r="A236" s="87" t="s">
        <v>302</v>
      </c>
      <c r="B236" s="88" t="s">
        <v>303</v>
      </c>
    </row>
    <row r="237" spans="1:2" x14ac:dyDescent="0.2">
      <c r="A237" s="79" t="s">
        <v>304</v>
      </c>
      <c r="B237" s="79" t="s">
        <v>306</v>
      </c>
    </row>
    <row r="238" spans="1:2" x14ac:dyDescent="0.2">
      <c r="A238" s="1144" t="s">
        <v>858</v>
      </c>
      <c r="B238" s="1169" t="s">
        <v>859</v>
      </c>
    </row>
    <row r="239" spans="1:2" x14ac:dyDescent="0.2">
      <c r="A239" s="1158" t="s">
        <v>111</v>
      </c>
      <c r="B239" s="94">
        <v>4178</v>
      </c>
    </row>
    <row r="240" spans="1:2" x14ac:dyDescent="0.2">
      <c r="A240" s="1158" t="s">
        <v>98</v>
      </c>
      <c r="B240" s="94">
        <v>3158</v>
      </c>
    </row>
    <row r="241" spans="1:2" x14ac:dyDescent="0.2">
      <c r="A241" s="79" t="s">
        <v>32</v>
      </c>
      <c r="B241" s="79">
        <v>2619</v>
      </c>
    </row>
    <row r="242" spans="1:2" x14ac:dyDescent="0.2">
      <c r="A242" s="1141" t="s">
        <v>860</v>
      </c>
      <c r="B242" s="1154" t="s">
        <v>861</v>
      </c>
    </row>
    <row r="243" spans="1:2" x14ac:dyDescent="0.2">
      <c r="A243" s="79" t="s">
        <v>307</v>
      </c>
      <c r="B243" s="80" t="s">
        <v>308</v>
      </c>
    </row>
    <row r="244" spans="1:2" x14ac:dyDescent="0.2">
      <c r="A244" s="79" t="s">
        <v>309</v>
      </c>
      <c r="B244" s="79">
        <v>258417</v>
      </c>
    </row>
    <row r="245" spans="1:2" x14ac:dyDescent="0.2">
      <c r="A245" s="79" t="s">
        <v>311</v>
      </c>
      <c r="B245" s="79" t="s">
        <v>313</v>
      </c>
    </row>
    <row r="246" spans="1:2" x14ac:dyDescent="0.2">
      <c r="A246" s="79" t="s">
        <v>314</v>
      </c>
      <c r="B246" s="79" t="s">
        <v>316</v>
      </c>
    </row>
    <row r="247" spans="1:2" x14ac:dyDescent="0.2">
      <c r="A247" s="79" t="s">
        <v>33</v>
      </c>
      <c r="B247" s="79">
        <v>2518</v>
      </c>
    </row>
    <row r="248" spans="1:2" x14ac:dyDescent="0.2">
      <c r="A248" s="1141" t="s">
        <v>862</v>
      </c>
      <c r="B248" s="1210" t="s">
        <v>863</v>
      </c>
    </row>
    <row r="249" spans="1:2" x14ac:dyDescent="0.2">
      <c r="A249" s="79" t="s">
        <v>317</v>
      </c>
      <c r="B249" s="79">
        <v>206106</v>
      </c>
    </row>
    <row r="250" spans="1:2" x14ac:dyDescent="0.2">
      <c r="A250" s="80" t="s">
        <v>319</v>
      </c>
      <c r="B250" s="80" t="s">
        <v>320</v>
      </c>
    </row>
    <row r="251" spans="1:2" x14ac:dyDescent="0.2">
      <c r="A251" s="1144" t="s">
        <v>864</v>
      </c>
      <c r="B251" s="1169" t="s">
        <v>865</v>
      </c>
    </row>
    <row r="252" spans="1:2" x14ac:dyDescent="0.2">
      <c r="A252" s="1158" t="s">
        <v>34</v>
      </c>
      <c r="B252" s="94">
        <v>2457</v>
      </c>
    </row>
    <row r="253" spans="1:2" x14ac:dyDescent="0.2">
      <c r="A253" s="1158" t="s">
        <v>99</v>
      </c>
      <c r="B253" s="79">
        <v>2010</v>
      </c>
    </row>
    <row r="254" spans="1:2" x14ac:dyDescent="0.2">
      <c r="A254" s="79" t="s">
        <v>35</v>
      </c>
      <c r="B254" s="79">
        <v>2002</v>
      </c>
    </row>
    <row r="255" spans="1:2" x14ac:dyDescent="0.2">
      <c r="A255" s="79" t="s">
        <v>36</v>
      </c>
      <c r="B255" s="79">
        <v>3544</v>
      </c>
    </row>
    <row r="256" spans="1:2" x14ac:dyDescent="0.2">
      <c r="A256" s="79" t="s">
        <v>5</v>
      </c>
      <c r="B256" s="79">
        <v>1008</v>
      </c>
    </row>
    <row r="257" spans="1:2" x14ac:dyDescent="0.2">
      <c r="A257" s="79" t="s">
        <v>321</v>
      </c>
      <c r="B257" s="79" t="s">
        <v>322</v>
      </c>
    </row>
    <row r="258" spans="1:2" x14ac:dyDescent="0.2">
      <c r="A258" s="79" t="s">
        <v>100</v>
      </c>
      <c r="B258" s="79">
        <v>2006</v>
      </c>
    </row>
    <row r="259" spans="1:2" x14ac:dyDescent="0.2">
      <c r="A259" s="80" t="s">
        <v>323</v>
      </c>
      <c r="B259" s="80" t="s">
        <v>324</v>
      </c>
    </row>
    <row r="260" spans="1:2" x14ac:dyDescent="0.2">
      <c r="A260" s="79" t="s">
        <v>325</v>
      </c>
      <c r="B260" s="79">
        <v>206133</v>
      </c>
    </row>
    <row r="261" spans="1:2" x14ac:dyDescent="0.2">
      <c r="A261" s="1149" t="s">
        <v>867</v>
      </c>
      <c r="B261" s="1169" t="s">
        <v>868</v>
      </c>
    </row>
    <row r="262" spans="1:2" x14ac:dyDescent="0.2">
      <c r="A262" s="79" t="s">
        <v>327</v>
      </c>
      <c r="B262" s="79" t="s">
        <v>329</v>
      </c>
    </row>
    <row r="263" spans="1:2" x14ac:dyDescent="0.2">
      <c r="A263" s="79" t="s">
        <v>330</v>
      </c>
      <c r="B263" s="79">
        <v>206134</v>
      </c>
    </row>
    <row r="264" spans="1:2" x14ac:dyDescent="0.2">
      <c r="A264" s="79" t="s">
        <v>334</v>
      </c>
      <c r="B264" s="79" t="s">
        <v>335</v>
      </c>
    </row>
    <row r="265" spans="1:2" x14ac:dyDescent="0.2">
      <c r="A265" s="1199" t="s">
        <v>332</v>
      </c>
      <c r="B265" s="1200" t="s">
        <v>333</v>
      </c>
    </row>
    <row r="266" spans="1:2" x14ac:dyDescent="0.2">
      <c r="A266" s="79" t="s">
        <v>336</v>
      </c>
      <c r="B266" s="79" t="s">
        <v>337</v>
      </c>
    </row>
    <row r="267" spans="1:2" x14ac:dyDescent="0.2">
      <c r="A267" s="79" t="s">
        <v>338</v>
      </c>
      <c r="B267" s="79">
        <v>206109</v>
      </c>
    </row>
    <row r="268" spans="1:2" x14ac:dyDescent="0.2">
      <c r="A268" s="79" t="s">
        <v>37</v>
      </c>
      <c r="B268" s="79">
        <v>2434</v>
      </c>
    </row>
    <row r="269" spans="1:2" x14ac:dyDescent="0.2">
      <c r="A269" s="1161" t="s">
        <v>597</v>
      </c>
      <c r="B269" s="147">
        <v>6905</v>
      </c>
    </row>
    <row r="270" spans="1:2" x14ac:dyDescent="0.2">
      <c r="A270" s="1158" t="s">
        <v>42</v>
      </c>
      <c r="B270" s="94">
        <v>2009</v>
      </c>
    </row>
    <row r="271" spans="1:2" x14ac:dyDescent="0.2">
      <c r="A271" s="1158" t="s">
        <v>38</v>
      </c>
      <c r="B271" s="94">
        <v>2522</v>
      </c>
    </row>
    <row r="272" spans="1:2" x14ac:dyDescent="0.2">
      <c r="A272" s="79" t="s">
        <v>340</v>
      </c>
      <c r="B272" s="79">
        <v>206110</v>
      </c>
    </row>
    <row r="273" spans="1:2" x14ac:dyDescent="0.2">
      <c r="A273" s="79" t="s">
        <v>342</v>
      </c>
      <c r="B273" s="79">
        <v>206135</v>
      </c>
    </row>
    <row r="274" spans="1:2" x14ac:dyDescent="0.2">
      <c r="A274" s="1158" t="s">
        <v>69</v>
      </c>
      <c r="B274" s="94">
        <v>4181</v>
      </c>
    </row>
    <row r="275" spans="1:2" x14ac:dyDescent="0.2">
      <c r="A275" s="79" t="s">
        <v>344</v>
      </c>
      <c r="B275" s="79">
        <v>509195</v>
      </c>
    </row>
    <row r="276" spans="1:2" x14ac:dyDescent="0.2">
      <c r="A276" s="87" t="s">
        <v>346</v>
      </c>
      <c r="B276" s="88" t="s">
        <v>347</v>
      </c>
    </row>
    <row r="277" spans="1:2" x14ac:dyDescent="0.2">
      <c r="A277" s="1201" t="s">
        <v>348</v>
      </c>
      <c r="B277" s="1202" t="s">
        <v>349</v>
      </c>
    </row>
    <row r="278" spans="1:2" x14ac:dyDescent="0.2">
      <c r="A278" s="79" t="s">
        <v>350</v>
      </c>
      <c r="B278" s="79" t="s">
        <v>352</v>
      </c>
    </row>
    <row r="279" spans="1:2" x14ac:dyDescent="0.2">
      <c r="A279" s="79" t="s">
        <v>353</v>
      </c>
      <c r="B279" s="79">
        <v>509199</v>
      </c>
    </row>
    <row r="280" spans="1:2" x14ac:dyDescent="0.2">
      <c r="A280" s="79" t="s">
        <v>355</v>
      </c>
      <c r="B280" s="79">
        <v>509197</v>
      </c>
    </row>
    <row r="281" spans="1:2" x14ac:dyDescent="0.2">
      <c r="A281" s="1151" t="s">
        <v>870</v>
      </c>
      <c r="B281" s="1211">
        <v>479383</v>
      </c>
    </row>
    <row r="282" spans="1:2" x14ac:dyDescent="0.2">
      <c r="A282" s="1170" t="s">
        <v>360</v>
      </c>
      <c r="B282" s="1168" t="s">
        <v>361</v>
      </c>
    </row>
    <row r="283" spans="1:2" x14ac:dyDescent="0.2">
      <c r="A283" s="1158" t="s">
        <v>70</v>
      </c>
      <c r="B283" s="94">
        <v>4182</v>
      </c>
    </row>
    <row r="284" spans="1:2" x14ac:dyDescent="0.2">
      <c r="A284" s="79" t="s">
        <v>357</v>
      </c>
      <c r="B284" s="79" t="s">
        <v>359</v>
      </c>
    </row>
    <row r="285" spans="1:2" x14ac:dyDescent="0.2">
      <c r="A285" s="79" t="s">
        <v>6</v>
      </c>
      <c r="B285" s="79">
        <v>1005</v>
      </c>
    </row>
    <row r="286" spans="1:2" x14ac:dyDescent="0.2">
      <c r="A286" s="489" t="s">
        <v>871</v>
      </c>
      <c r="B286" s="1179" t="s">
        <v>872</v>
      </c>
    </row>
    <row r="287" spans="1:2" x14ac:dyDescent="0.2">
      <c r="A287" s="1158" t="s">
        <v>39</v>
      </c>
      <c r="B287" s="94">
        <v>2436</v>
      </c>
    </row>
    <row r="288" spans="1:2" x14ac:dyDescent="0.2">
      <c r="A288" s="79" t="s">
        <v>362</v>
      </c>
      <c r="B288" s="79">
        <v>206117</v>
      </c>
    </row>
    <row r="289" spans="1:2" x14ac:dyDescent="0.2">
      <c r="A289" s="79" t="s">
        <v>40</v>
      </c>
      <c r="B289" s="79">
        <v>2452</v>
      </c>
    </row>
    <row r="290" spans="1:2" x14ac:dyDescent="0.2">
      <c r="A290" s="1158" t="s">
        <v>71</v>
      </c>
      <c r="B290" s="94">
        <v>4001</v>
      </c>
    </row>
    <row r="291" spans="1:2" x14ac:dyDescent="0.2">
      <c r="A291" s="79" t="s">
        <v>364</v>
      </c>
      <c r="B291" s="79">
        <v>206141</v>
      </c>
    </row>
    <row r="292" spans="1:2" x14ac:dyDescent="0.2">
      <c r="A292" s="1158" t="s">
        <v>41</v>
      </c>
      <c r="B292" s="94">
        <v>2627</v>
      </c>
    </row>
    <row r="293" spans="1:2" x14ac:dyDescent="0.2">
      <c r="A293" s="1158" t="s">
        <v>112</v>
      </c>
      <c r="B293" s="94">
        <v>5406</v>
      </c>
    </row>
    <row r="294" spans="1:2" x14ac:dyDescent="0.2">
      <c r="A294" s="1158" t="s">
        <v>113</v>
      </c>
      <c r="B294" s="94">
        <v>5407</v>
      </c>
    </row>
    <row r="295" spans="1:2" x14ac:dyDescent="0.2">
      <c r="A295" s="79" t="s">
        <v>366</v>
      </c>
      <c r="B295" s="79" t="s">
        <v>368</v>
      </c>
    </row>
    <row r="296" spans="1:2" x14ac:dyDescent="0.2">
      <c r="A296" s="79" t="s">
        <v>369</v>
      </c>
      <c r="B296" s="79">
        <v>258404</v>
      </c>
    </row>
    <row r="297" spans="1:2" x14ac:dyDescent="0.2">
      <c r="A297" s="1158" t="s">
        <v>101</v>
      </c>
      <c r="B297" s="79">
        <v>2473</v>
      </c>
    </row>
    <row r="298" spans="1:2" x14ac:dyDescent="0.2">
      <c r="A298" s="1158" t="s">
        <v>44</v>
      </c>
      <c r="B298" s="94">
        <v>2471</v>
      </c>
    </row>
    <row r="299" spans="1:2" x14ac:dyDescent="0.2">
      <c r="A299" s="79" t="s">
        <v>371</v>
      </c>
      <c r="B299" s="79">
        <v>258405</v>
      </c>
    </row>
    <row r="300" spans="1:2" x14ac:dyDescent="0.2">
      <c r="A300" s="79" t="s">
        <v>373</v>
      </c>
      <c r="B300" s="79">
        <v>258406</v>
      </c>
    </row>
    <row r="301" spans="1:2" x14ac:dyDescent="0.2">
      <c r="A301" s="79" t="s">
        <v>43</v>
      </c>
      <c r="B301" s="79">
        <v>2420</v>
      </c>
    </row>
    <row r="302" spans="1:2" x14ac:dyDescent="0.2">
      <c r="A302" s="79" t="s">
        <v>375</v>
      </c>
      <c r="B302" s="79">
        <v>206160</v>
      </c>
    </row>
    <row r="303" spans="1:2" x14ac:dyDescent="0.2">
      <c r="A303" s="79" t="s">
        <v>45</v>
      </c>
      <c r="B303" s="79">
        <v>2003</v>
      </c>
    </row>
    <row r="304" spans="1:2" x14ac:dyDescent="0.2">
      <c r="A304" s="1158" t="s">
        <v>46</v>
      </c>
      <c r="B304" s="94">
        <v>2423</v>
      </c>
    </row>
    <row r="305" spans="1:2" x14ac:dyDescent="0.2">
      <c r="A305" s="1158" t="s">
        <v>47</v>
      </c>
      <c r="B305" s="94">
        <v>2424</v>
      </c>
    </row>
    <row r="306" spans="1:2" x14ac:dyDescent="0.2">
      <c r="A306" s="79" t="s">
        <v>377</v>
      </c>
      <c r="B306" s="79" t="s">
        <v>379</v>
      </c>
    </row>
    <row r="307" spans="1:2" x14ac:dyDescent="0.2">
      <c r="A307" s="726" t="s">
        <v>873</v>
      </c>
      <c r="B307" s="1179" t="s">
        <v>874</v>
      </c>
    </row>
    <row r="308" spans="1:2" x14ac:dyDescent="0.2">
      <c r="A308" s="79" t="s">
        <v>382</v>
      </c>
      <c r="B308" s="79" t="s">
        <v>384</v>
      </c>
    </row>
    <row r="309" spans="1:2" x14ac:dyDescent="0.2">
      <c r="A309" s="79" t="s">
        <v>385</v>
      </c>
      <c r="B309" s="79">
        <v>206146</v>
      </c>
    </row>
    <row r="310" spans="1:2" x14ac:dyDescent="0.2">
      <c r="A310" s="1158" t="s">
        <v>48</v>
      </c>
      <c r="B310" s="94">
        <v>2439</v>
      </c>
    </row>
    <row r="311" spans="1:2" x14ac:dyDescent="0.2">
      <c r="A311" s="1158" t="s">
        <v>49</v>
      </c>
      <c r="B311" s="94">
        <v>2440</v>
      </c>
    </row>
    <row r="312" spans="1:2" x14ac:dyDescent="0.2">
      <c r="A312" s="80" t="s">
        <v>387</v>
      </c>
      <c r="B312" s="80" t="s">
        <v>388</v>
      </c>
    </row>
    <row r="313" spans="1:2" x14ac:dyDescent="0.2">
      <c r="A313" s="1158" t="s">
        <v>102</v>
      </c>
      <c r="B313" s="79">
        <v>2462</v>
      </c>
    </row>
    <row r="314" spans="1:2" x14ac:dyDescent="0.2">
      <c r="A314" s="1158" t="s">
        <v>50</v>
      </c>
      <c r="B314" s="94">
        <v>2463</v>
      </c>
    </row>
    <row r="315" spans="1:2" x14ac:dyDescent="0.2">
      <c r="A315" s="79" t="s">
        <v>51</v>
      </c>
      <c r="B315" s="79">
        <v>2505</v>
      </c>
    </row>
    <row r="316" spans="1:2" x14ac:dyDescent="0.2">
      <c r="A316" s="79" t="s">
        <v>52</v>
      </c>
      <c r="B316" s="79">
        <v>2000</v>
      </c>
    </row>
    <row r="317" spans="1:2" x14ac:dyDescent="0.2">
      <c r="A317" s="1158" t="s">
        <v>53</v>
      </c>
      <c r="B317" s="94">
        <v>2458</v>
      </c>
    </row>
    <row r="318" spans="1:2" x14ac:dyDescent="0.2">
      <c r="A318" s="79" t="s">
        <v>392</v>
      </c>
      <c r="B318" s="79" t="s">
        <v>394</v>
      </c>
    </row>
    <row r="319" spans="1:2" x14ac:dyDescent="0.2">
      <c r="A319" s="79" t="s">
        <v>54</v>
      </c>
      <c r="B319" s="79">
        <v>2001</v>
      </c>
    </row>
    <row r="320" spans="1:2" x14ac:dyDescent="0.2">
      <c r="A320" s="80" t="s">
        <v>395</v>
      </c>
      <c r="B320" s="80" t="s">
        <v>396</v>
      </c>
    </row>
    <row r="321" spans="1:2" x14ac:dyDescent="0.2">
      <c r="A321" s="79" t="s">
        <v>55</v>
      </c>
      <c r="B321" s="79">
        <v>2429</v>
      </c>
    </row>
    <row r="322" spans="1:2" x14ac:dyDescent="0.2">
      <c r="A322" s="79" t="s">
        <v>397</v>
      </c>
      <c r="B322" s="79">
        <v>113044</v>
      </c>
    </row>
    <row r="323" spans="1:2" x14ac:dyDescent="0.2">
      <c r="A323" s="79" t="s">
        <v>399</v>
      </c>
      <c r="B323" s="79" t="s">
        <v>401</v>
      </c>
    </row>
    <row r="324" spans="1:2" x14ac:dyDescent="0.2">
      <c r="A324" s="1158" t="s">
        <v>72</v>
      </c>
      <c r="B324" s="94">
        <v>4607</v>
      </c>
    </row>
    <row r="325" spans="1:2" x14ac:dyDescent="0.2">
      <c r="A325" s="665" t="s">
        <v>881</v>
      </c>
      <c r="B325" s="1169" t="s">
        <v>882</v>
      </c>
    </row>
    <row r="326" spans="1:2" x14ac:dyDescent="0.2">
      <c r="A326" s="726" t="s">
        <v>883</v>
      </c>
      <c r="B326" s="1154" t="s">
        <v>884</v>
      </c>
    </row>
    <row r="327" spans="1:2" x14ac:dyDescent="0.2">
      <c r="A327" s="79" t="s">
        <v>56</v>
      </c>
      <c r="B327" s="79">
        <v>2444</v>
      </c>
    </row>
    <row r="328" spans="1:2" x14ac:dyDescent="0.2">
      <c r="A328" s="1158" t="s">
        <v>57</v>
      </c>
      <c r="B328" s="94">
        <v>5209</v>
      </c>
    </row>
    <row r="329" spans="1:2" x14ac:dyDescent="0.2">
      <c r="A329" s="79" t="s">
        <v>402</v>
      </c>
      <c r="B329" s="79" t="s">
        <v>404</v>
      </c>
    </row>
    <row r="330" spans="1:2" x14ac:dyDescent="0.2">
      <c r="A330" s="79" t="s">
        <v>405</v>
      </c>
      <c r="B330" s="79" t="s">
        <v>407</v>
      </c>
    </row>
    <row r="331" spans="1:2" x14ac:dyDescent="0.2">
      <c r="A331" s="1158" t="s">
        <v>58</v>
      </c>
      <c r="B331" s="94">
        <v>2469</v>
      </c>
    </row>
    <row r="332" spans="1:2" x14ac:dyDescent="0.2">
      <c r="A332" s="79" t="s">
        <v>408</v>
      </c>
      <c r="B332" s="79" t="s">
        <v>410</v>
      </c>
    </row>
    <row r="333" spans="1:2" x14ac:dyDescent="0.2">
      <c r="A333" s="99" t="s">
        <v>411</v>
      </c>
      <c r="B333" s="99" t="s">
        <v>412</v>
      </c>
    </row>
    <row r="334" spans="1:2" x14ac:dyDescent="0.2">
      <c r="A334" s="1158" t="s">
        <v>59</v>
      </c>
      <c r="B334" s="94">
        <v>2466</v>
      </c>
    </row>
    <row r="335" spans="1:2" x14ac:dyDescent="0.2">
      <c r="A335" s="79" t="s">
        <v>60</v>
      </c>
      <c r="B335" s="79">
        <v>3543</v>
      </c>
    </row>
    <row r="336" spans="1:2" x14ac:dyDescent="0.2">
      <c r="A336" s="79" t="s">
        <v>413</v>
      </c>
      <c r="B336" s="79">
        <v>206152</v>
      </c>
    </row>
    <row r="337" spans="1:2" x14ac:dyDescent="0.2">
      <c r="A337" s="79" t="s">
        <v>415</v>
      </c>
      <c r="B337" s="79">
        <v>206153</v>
      </c>
    </row>
    <row r="338" spans="1:2" x14ac:dyDescent="0.2">
      <c r="A338" s="1158" t="s">
        <v>62</v>
      </c>
      <c r="B338" s="94">
        <v>3531</v>
      </c>
    </row>
    <row r="339" spans="1:2" x14ac:dyDescent="0.2">
      <c r="A339" s="79" t="s">
        <v>63</v>
      </c>
      <c r="B339" s="79">
        <v>3526</v>
      </c>
    </row>
    <row r="340" spans="1:2" x14ac:dyDescent="0.2">
      <c r="A340" s="1158" t="s">
        <v>104</v>
      </c>
      <c r="B340" s="94">
        <v>3535</v>
      </c>
    </row>
    <row r="341" spans="1:2" x14ac:dyDescent="0.2">
      <c r="A341" s="1203" t="s">
        <v>64</v>
      </c>
      <c r="B341" s="94">
        <v>2008</v>
      </c>
    </row>
    <row r="342" spans="1:2" x14ac:dyDescent="0.2">
      <c r="A342" s="1158" t="s">
        <v>105</v>
      </c>
      <c r="B342" s="94">
        <v>3542</v>
      </c>
    </row>
    <row r="343" spans="1:2" x14ac:dyDescent="0.2">
      <c r="A343" s="90" t="s">
        <v>417</v>
      </c>
      <c r="B343" s="79">
        <v>206154</v>
      </c>
    </row>
    <row r="344" spans="1:2" x14ac:dyDescent="0.2">
      <c r="A344" s="1158" t="s">
        <v>106</v>
      </c>
      <c r="B344" s="79">
        <v>3528</v>
      </c>
    </row>
    <row r="345" spans="1:2" x14ac:dyDescent="0.2">
      <c r="A345" s="80" t="s">
        <v>419</v>
      </c>
      <c r="B345" s="80" t="s">
        <v>420</v>
      </c>
    </row>
    <row r="346" spans="1:2" x14ac:dyDescent="0.2">
      <c r="A346" s="1158" t="s">
        <v>107</v>
      </c>
      <c r="B346" s="94">
        <v>3534</v>
      </c>
    </row>
    <row r="347" spans="1:2" x14ac:dyDescent="0.2">
      <c r="A347" s="1158" t="s">
        <v>108</v>
      </c>
      <c r="B347" s="143">
        <v>3532</v>
      </c>
    </row>
    <row r="348" spans="1:2" x14ac:dyDescent="0.2">
      <c r="A348" s="107" t="s">
        <v>7</v>
      </c>
      <c r="B348" s="79">
        <v>1010</v>
      </c>
    </row>
    <row r="349" spans="1:2" x14ac:dyDescent="0.2">
      <c r="A349" s="107" t="s">
        <v>421</v>
      </c>
      <c r="B349" s="79" t="s">
        <v>423</v>
      </c>
    </row>
    <row r="350" spans="1:2" x14ac:dyDescent="0.2">
      <c r="A350" s="1158" t="s">
        <v>114</v>
      </c>
      <c r="B350" s="94">
        <v>4177</v>
      </c>
    </row>
    <row r="351" spans="1:2" x14ac:dyDescent="0.2">
      <c r="A351" s="79" t="s">
        <v>424</v>
      </c>
      <c r="B351" s="79" t="s">
        <v>426</v>
      </c>
    </row>
    <row r="352" spans="1:2" x14ac:dyDescent="0.2">
      <c r="A352" s="79" t="s">
        <v>427</v>
      </c>
      <c r="B352" s="79">
        <v>206103</v>
      </c>
    </row>
    <row r="353" spans="1:2" x14ac:dyDescent="0.2">
      <c r="A353" s="79" t="s">
        <v>428</v>
      </c>
      <c r="B353" s="79" t="s">
        <v>430</v>
      </c>
    </row>
    <row r="354" spans="1:2" x14ac:dyDescent="0.2">
      <c r="A354" s="79" t="s">
        <v>431</v>
      </c>
      <c r="B354" s="79" t="s">
        <v>433</v>
      </c>
    </row>
    <row r="355" spans="1:2" x14ac:dyDescent="0.2">
      <c r="A355" s="79" t="s">
        <v>434</v>
      </c>
      <c r="B355" s="79">
        <v>258420</v>
      </c>
    </row>
    <row r="356" spans="1:2" x14ac:dyDescent="0.2">
      <c r="A356" s="79" t="s">
        <v>436</v>
      </c>
      <c r="B356" s="79">
        <v>258424</v>
      </c>
    </row>
    <row r="357" spans="1:2" x14ac:dyDescent="0.2">
      <c r="A357" s="79" t="s">
        <v>438</v>
      </c>
      <c r="B357" s="79" t="s">
        <v>439</v>
      </c>
    </row>
    <row r="358" spans="1:2" x14ac:dyDescent="0.2">
      <c r="A358" s="142" t="s">
        <v>65</v>
      </c>
      <c r="B358" s="79">
        <v>3546</v>
      </c>
    </row>
    <row r="359" spans="1:2" x14ac:dyDescent="0.2">
      <c r="A359" s="140" t="s">
        <v>8</v>
      </c>
      <c r="B359" s="79">
        <v>1009</v>
      </c>
    </row>
    <row r="360" spans="1:2" x14ac:dyDescent="0.2">
      <c r="A360" s="142" t="s">
        <v>66</v>
      </c>
      <c r="B360" s="79">
        <v>3530</v>
      </c>
    </row>
    <row r="361" spans="1:2" x14ac:dyDescent="0.2">
      <c r="A361" s="1158" t="s">
        <v>74</v>
      </c>
      <c r="B361" s="94">
        <v>5412</v>
      </c>
    </row>
    <row r="362" spans="1:2" ht="15" x14ac:dyDescent="0.2">
      <c r="A362" s="146" t="s">
        <v>445</v>
      </c>
      <c r="B362" s="146" t="s">
        <v>446</v>
      </c>
    </row>
    <row r="363" spans="1:2" x14ac:dyDescent="0.2">
      <c r="A363" s="140" t="s">
        <v>440</v>
      </c>
      <c r="B363" s="144" t="s">
        <v>442</v>
      </c>
    </row>
    <row r="364" spans="1:2" x14ac:dyDescent="0.2">
      <c r="A364" s="79" t="s">
        <v>9</v>
      </c>
      <c r="B364" s="140">
        <v>1015</v>
      </c>
    </row>
    <row r="365" spans="1:2" x14ac:dyDescent="0.2">
      <c r="A365" s="141" t="s">
        <v>443</v>
      </c>
      <c r="B365" s="145" t="s">
        <v>444</v>
      </c>
    </row>
    <row r="366" spans="1:2" x14ac:dyDescent="0.2">
      <c r="A366" s="142" t="s">
        <v>447</v>
      </c>
      <c r="B366" s="79">
        <v>509204</v>
      </c>
    </row>
    <row r="367" spans="1:2" x14ac:dyDescent="0.2">
      <c r="A367" s="1206" t="s">
        <v>67</v>
      </c>
      <c r="B367" s="143">
        <v>2459</v>
      </c>
    </row>
    <row r="368" spans="1:2" x14ac:dyDescent="0.2">
      <c r="A368" s="79" t="s">
        <v>96</v>
      </c>
      <c r="B368" s="79">
        <v>2007</v>
      </c>
    </row>
  </sheetData>
  <sheetProtection password="EF5C" sheet="1" objects="1" scenarios="1"/>
  <mergeCells count="1">
    <mergeCell ref="B1:B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352"/>
  <sheetViews>
    <sheetView workbookViewId="0">
      <pane xSplit="2" ySplit="6" topLeftCell="C7" activePane="bottomRight" state="frozen"/>
      <selection activeCell="C118" sqref="C118"/>
      <selection pane="topRight" activeCell="C118" sqref="C118"/>
      <selection pane="bottomLeft" activeCell="C118" sqref="C118"/>
      <selection pane="bottomRight" sqref="A1:N1048576"/>
    </sheetView>
  </sheetViews>
  <sheetFormatPr defaultRowHeight="12.75" x14ac:dyDescent="0.2"/>
  <cols>
    <col min="1" max="1" width="52.42578125" style="22" hidden="1" customWidth="1"/>
    <col min="2" max="2" width="17.140625" style="22" hidden="1" customWidth="1"/>
    <col min="3" max="3" width="16" style="22" hidden="1" customWidth="1"/>
    <col min="4" max="14" width="0" style="22" hidden="1" customWidth="1"/>
    <col min="15" max="16384" width="9.140625" style="22"/>
  </cols>
  <sheetData>
    <row r="1" spans="1:3" x14ac:dyDescent="0.2">
      <c r="A1" s="24" t="s">
        <v>1088</v>
      </c>
      <c r="B1" s="1000"/>
      <c r="C1" s="1010">
        <v>100000</v>
      </c>
    </row>
    <row r="2" spans="1:3" x14ac:dyDescent="0.2">
      <c r="A2" s="24" t="s">
        <v>1089</v>
      </c>
      <c r="B2" s="1000"/>
      <c r="C2" s="1010">
        <v>150000</v>
      </c>
    </row>
    <row r="3" spans="1:3" x14ac:dyDescent="0.2">
      <c r="A3" s="24" t="s">
        <v>78</v>
      </c>
      <c r="B3" s="1000"/>
      <c r="C3" s="1010"/>
    </row>
    <row r="4" spans="1:3" x14ac:dyDescent="0.2">
      <c r="A4" s="24" t="s">
        <v>79</v>
      </c>
      <c r="B4" s="1000"/>
      <c r="C4" s="1010"/>
    </row>
    <row r="5" spans="1:3" x14ac:dyDescent="0.2">
      <c r="A5" s="24" t="s">
        <v>80</v>
      </c>
      <c r="B5" s="1000"/>
      <c r="C5" s="1010"/>
    </row>
    <row r="6" spans="1:3" x14ac:dyDescent="0.2">
      <c r="A6" s="1022" t="s">
        <v>118</v>
      </c>
      <c r="B6" s="1024" t="s">
        <v>81</v>
      </c>
      <c r="C6" s="8" t="s">
        <v>1090</v>
      </c>
    </row>
    <row r="7" spans="1:3" x14ac:dyDescent="0.2">
      <c r="A7" s="25" t="s">
        <v>10</v>
      </c>
      <c r="B7" s="26">
        <v>2012</v>
      </c>
      <c r="C7" s="1042">
        <f>C$1</f>
        <v>100000</v>
      </c>
    </row>
    <row r="8" spans="1:3" x14ac:dyDescent="0.2">
      <c r="A8" s="25" t="s">
        <v>11</v>
      </c>
      <c r="B8" s="26">
        <v>2443</v>
      </c>
      <c r="C8" s="1042">
        <f t="shared" ref="C8:C71" si="0">C$1</f>
        <v>100000</v>
      </c>
    </row>
    <row r="9" spans="1:3" x14ac:dyDescent="0.2">
      <c r="A9" s="25" t="s">
        <v>94</v>
      </c>
      <c r="B9" s="26">
        <v>2442</v>
      </c>
      <c r="C9" s="1042">
        <f t="shared" si="0"/>
        <v>100000</v>
      </c>
    </row>
    <row r="10" spans="1:3" x14ac:dyDescent="0.2">
      <c r="A10" s="25" t="s">
        <v>13</v>
      </c>
      <c r="B10" s="26">
        <v>2629</v>
      </c>
      <c r="C10" s="1042">
        <f t="shared" si="0"/>
        <v>100000</v>
      </c>
    </row>
    <row r="11" spans="1:3" x14ac:dyDescent="0.2">
      <c r="A11" s="25" t="s">
        <v>14</v>
      </c>
      <c r="B11" s="26">
        <v>2509</v>
      </c>
      <c r="C11" s="1042">
        <f t="shared" si="0"/>
        <v>100000</v>
      </c>
    </row>
    <row r="12" spans="1:3" x14ac:dyDescent="0.2">
      <c r="A12" s="25" t="s">
        <v>15</v>
      </c>
      <c r="B12" s="26">
        <v>2005</v>
      </c>
      <c r="C12" s="1042">
        <f t="shared" si="0"/>
        <v>100000</v>
      </c>
    </row>
    <row r="13" spans="1:3" x14ac:dyDescent="0.2">
      <c r="A13" s="25" t="s">
        <v>16</v>
      </c>
      <c r="B13" s="26">
        <v>2464</v>
      </c>
      <c r="C13" s="1042">
        <f t="shared" si="0"/>
        <v>100000</v>
      </c>
    </row>
    <row r="14" spans="1:3" x14ac:dyDescent="0.2">
      <c r="A14" s="25" t="s">
        <v>17</v>
      </c>
      <c r="B14" s="26">
        <v>2004</v>
      </c>
      <c r="C14" s="1042">
        <f t="shared" si="0"/>
        <v>100000</v>
      </c>
    </row>
    <row r="15" spans="1:3" x14ac:dyDescent="0.2">
      <c r="A15" s="25" t="s">
        <v>18</v>
      </c>
      <c r="B15" s="26">
        <v>2405</v>
      </c>
      <c r="C15" s="1042">
        <f t="shared" si="0"/>
        <v>100000</v>
      </c>
    </row>
    <row r="16" spans="1:3" x14ac:dyDescent="0.2">
      <c r="A16" s="25" t="s">
        <v>95</v>
      </c>
      <c r="B16" s="26">
        <v>2011</v>
      </c>
      <c r="C16" s="1042">
        <f t="shared" si="0"/>
        <v>100000</v>
      </c>
    </row>
    <row r="17" spans="1:3" x14ac:dyDescent="0.2">
      <c r="A17" s="25" t="s">
        <v>20</v>
      </c>
      <c r="B17" s="26">
        <v>5201</v>
      </c>
      <c r="C17" s="1042">
        <f t="shared" si="0"/>
        <v>100000</v>
      </c>
    </row>
    <row r="18" spans="1:3" x14ac:dyDescent="0.2">
      <c r="A18" s="25" t="s">
        <v>96</v>
      </c>
      <c r="B18" s="26">
        <v>2007</v>
      </c>
      <c r="C18" s="1042">
        <f t="shared" si="0"/>
        <v>100000</v>
      </c>
    </row>
    <row r="19" spans="1:3" x14ac:dyDescent="0.2">
      <c r="A19" s="25" t="s">
        <v>21</v>
      </c>
      <c r="B19" s="26">
        <v>2433</v>
      </c>
      <c r="C19" s="1042">
        <f t="shared" si="0"/>
        <v>100000</v>
      </c>
    </row>
    <row r="20" spans="1:3" x14ac:dyDescent="0.2">
      <c r="A20" s="25" t="s">
        <v>22</v>
      </c>
      <c r="B20" s="26">
        <v>2432</v>
      </c>
      <c r="C20" s="1042">
        <f t="shared" si="0"/>
        <v>100000</v>
      </c>
    </row>
    <row r="21" spans="1:3" x14ac:dyDescent="0.2">
      <c r="A21" s="25" t="s">
        <v>1028</v>
      </c>
      <c r="B21" s="26">
        <v>2447</v>
      </c>
      <c r="C21" s="1047">
        <f t="shared" si="0"/>
        <v>100000</v>
      </c>
    </row>
    <row r="22" spans="1:3" x14ac:dyDescent="0.2">
      <c r="A22" s="25" t="s">
        <v>23</v>
      </c>
      <c r="B22" s="26">
        <v>2512</v>
      </c>
      <c r="C22" s="1042">
        <f t="shared" si="0"/>
        <v>100000</v>
      </c>
    </row>
    <row r="23" spans="1:3" x14ac:dyDescent="0.2">
      <c r="A23" s="25" t="s">
        <v>24</v>
      </c>
      <c r="B23" s="26">
        <v>2456</v>
      </c>
      <c r="C23" s="1042">
        <f t="shared" si="0"/>
        <v>100000</v>
      </c>
    </row>
    <row r="24" spans="1:3" x14ac:dyDescent="0.2">
      <c r="A24" s="25" t="s">
        <v>25</v>
      </c>
      <c r="B24" s="26">
        <v>2449</v>
      </c>
      <c r="C24" s="1042">
        <f t="shared" si="0"/>
        <v>100000</v>
      </c>
    </row>
    <row r="25" spans="1:3" x14ac:dyDescent="0.2">
      <c r="A25" s="25" t="s">
        <v>26</v>
      </c>
      <c r="B25" s="26">
        <v>2448</v>
      </c>
      <c r="C25" s="1042">
        <f t="shared" si="0"/>
        <v>100000</v>
      </c>
    </row>
    <row r="26" spans="1:3" x14ac:dyDescent="0.2">
      <c r="A26" s="25" t="s">
        <v>126</v>
      </c>
      <c r="B26" s="26">
        <v>2467</v>
      </c>
      <c r="C26" s="1042">
        <f t="shared" si="0"/>
        <v>100000</v>
      </c>
    </row>
    <row r="27" spans="1:3" x14ac:dyDescent="0.2">
      <c r="A27" s="25" t="s">
        <v>28</v>
      </c>
      <c r="B27" s="26">
        <v>2455</v>
      </c>
      <c r="C27" s="1042">
        <f t="shared" si="0"/>
        <v>100000</v>
      </c>
    </row>
    <row r="28" spans="1:3" x14ac:dyDescent="0.2">
      <c r="A28" s="25" t="s">
        <v>29</v>
      </c>
      <c r="B28" s="26">
        <v>5203</v>
      </c>
      <c r="C28" s="1042">
        <f t="shared" si="0"/>
        <v>100000</v>
      </c>
    </row>
    <row r="29" spans="1:3" x14ac:dyDescent="0.2">
      <c r="A29" s="25" t="s">
        <v>30</v>
      </c>
      <c r="B29" s="26">
        <v>2451</v>
      </c>
      <c r="C29" s="1042">
        <f t="shared" si="0"/>
        <v>100000</v>
      </c>
    </row>
    <row r="30" spans="1:3" x14ac:dyDescent="0.2">
      <c r="A30" s="25" t="s">
        <v>31</v>
      </c>
      <c r="B30" s="26">
        <v>2409</v>
      </c>
      <c r="C30" s="1042">
        <f t="shared" si="0"/>
        <v>100000</v>
      </c>
    </row>
    <row r="31" spans="1:3" x14ac:dyDescent="0.2">
      <c r="A31" s="25" t="s">
        <v>98</v>
      </c>
      <c r="B31" s="26">
        <v>3158</v>
      </c>
      <c r="C31" s="1042">
        <f t="shared" si="0"/>
        <v>100000</v>
      </c>
    </row>
    <row r="32" spans="1:3" x14ac:dyDescent="0.2">
      <c r="A32" s="25" t="s">
        <v>32</v>
      </c>
      <c r="B32" s="26">
        <v>2619</v>
      </c>
      <c r="C32" s="1042">
        <f t="shared" si="0"/>
        <v>100000</v>
      </c>
    </row>
    <row r="33" spans="1:3" x14ac:dyDescent="0.2">
      <c r="A33" s="25" t="s">
        <v>33</v>
      </c>
      <c r="B33" s="26">
        <v>2518</v>
      </c>
      <c r="C33" s="1042">
        <f t="shared" si="0"/>
        <v>100000</v>
      </c>
    </row>
    <row r="34" spans="1:3" x14ac:dyDescent="0.2">
      <c r="A34" s="25" t="s">
        <v>34</v>
      </c>
      <c r="B34" s="26">
        <v>2457</v>
      </c>
      <c r="C34" s="1042">
        <f t="shared" si="0"/>
        <v>100000</v>
      </c>
    </row>
    <row r="35" spans="1:3" x14ac:dyDescent="0.2">
      <c r="A35" s="25" t="s">
        <v>99</v>
      </c>
      <c r="B35" s="26">
        <v>2010</v>
      </c>
      <c r="C35" s="1042">
        <f t="shared" si="0"/>
        <v>100000</v>
      </c>
    </row>
    <row r="36" spans="1:3" x14ac:dyDescent="0.2">
      <c r="A36" s="25" t="s">
        <v>35</v>
      </c>
      <c r="B36" s="26">
        <v>2002</v>
      </c>
      <c r="C36" s="1042">
        <f t="shared" si="0"/>
        <v>100000</v>
      </c>
    </row>
    <row r="37" spans="1:3" x14ac:dyDescent="0.2">
      <c r="A37" s="25" t="s">
        <v>36</v>
      </c>
      <c r="B37" s="26">
        <v>3544</v>
      </c>
      <c r="C37" s="1042">
        <f t="shared" si="0"/>
        <v>100000</v>
      </c>
    </row>
    <row r="38" spans="1:3" x14ac:dyDescent="0.2">
      <c r="A38" s="25" t="s">
        <v>100</v>
      </c>
      <c r="B38" s="26">
        <v>2006</v>
      </c>
      <c r="C38" s="1042">
        <f t="shared" si="0"/>
        <v>100000</v>
      </c>
    </row>
    <row r="39" spans="1:3" x14ac:dyDescent="0.2">
      <c r="A39" s="25" t="s">
        <v>37</v>
      </c>
      <c r="B39" s="26">
        <v>2434</v>
      </c>
      <c r="C39" s="1042">
        <f t="shared" si="0"/>
        <v>100000</v>
      </c>
    </row>
    <row r="40" spans="1:3" x14ac:dyDescent="0.2">
      <c r="A40" s="25" t="s">
        <v>38</v>
      </c>
      <c r="B40" s="26">
        <v>2522</v>
      </c>
      <c r="C40" s="1042">
        <f t="shared" si="0"/>
        <v>100000</v>
      </c>
    </row>
    <row r="41" spans="1:3" x14ac:dyDescent="0.2">
      <c r="A41" s="25" t="s">
        <v>39</v>
      </c>
      <c r="B41" s="26">
        <v>2436</v>
      </c>
      <c r="C41" s="1042">
        <f t="shared" si="0"/>
        <v>100000</v>
      </c>
    </row>
    <row r="42" spans="1:3" x14ac:dyDescent="0.2">
      <c r="A42" s="25" t="s">
        <v>40</v>
      </c>
      <c r="B42" s="26">
        <v>2452</v>
      </c>
      <c r="C42" s="1042">
        <f t="shared" si="0"/>
        <v>100000</v>
      </c>
    </row>
    <row r="43" spans="1:3" x14ac:dyDescent="0.2">
      <c r="A43" s="25" t="s">
        <v>41</v>
      </c>
      <c r="B43" s="26">
        <v>2627</v>
      </c>
      <c r="C43" s="1042">
        <f t="shared" si="0"/>
        <v>100000</v>
      </c>
    </row>
    <row r="44" spans="1:3" x14ac:dyDescent="0.2">
      <c r="A44" s="25" t="s">
        <v>42</v>
      </c>
      <c r="B44" s="26">
        <v>2009</v>
      </c>
      <c r="C44" s="1042">
        <f t="shared" si="0"/>
        <v>100000</v>
      </c>
    </row>
    <row r="45" spans="1:3" x14ac:dyDescent="0.2">
      <c r="A45" s="25" t="s">
        <v>101</v>
      </c>
      <c r="B45" s="26">
        <v>2473</v>
      </c>
      <c r="C45" s="1042">
        <f t="shared" si="0"/>
        <v>100000</v>
      </c>
    </row>
    <row r="46" spans="1:3" x14ac:dyDescent="0.2">
      <c r="A46" s="25" t="s">
        <v>44</v>
      </c>
      <c r="B46" s="26">
        <v>2471</v>
      </c>
      <c r="C46" s="1042">
        <f t="shared" si="0"/>
        <v>100000</v>
      </c>
    </row>
    <row r="47" spans="1:3" x14ac:dyDescent="0.2">
      <c r="A47" s="25" t="s">
        <v>43</v>
      </c>
      <c r="B47" s="26">
        <v>2420</v>
      </c>
      <c r="C47" s="1042">
        <f t="shared" si="0"/>
        <v>100000</v>
      </c>
    </row>
    <row r="48" spans="1:3" x14ac:dyDescent="0.2">
      <c r="A48" s="25" t="s">
        <v>45</v>
      </c>
      <c r="B48" s="26">
        <v>2003</v>
      </c>
      <c r="C48" s="1042">
        <f t="shared" si="0"/>
        <v>100000</v>
      </c>
    </row>
    <row r="49" spans="1:3" x14ac:dyDescent="0.2">
      <c r="A49" s="25" t="s">
        <v>46</v>
      </c>
      <c r="B49" s="26">
        <v>2423</v>
      </c>
      <c r="C49" s="1042">
        <f t="shared" si="0"/>
        <v>100000</v>
      </c>
    </row>
    <row r="50" spans="1:3" x14ac:dyDescent="0.2">
      <c r="A50" s="25" t="s">
        <v>47</v>
      </c>
      <c r="B50" s="26">
        <v>2424</v>
      </c>
      <c r="C50" s="1042">
        <f t="shared" si="0"/>
        <v>100000</v>
      </c>
    </row>
    <row r="51" spans="1:3" x14ac:dyDescent="0.2">
      <c r="A51" s="25" t="s">
        <v>48</v>
      </c>
      <c r="B51" s="26">
        <v>2439</v>
      </c>
      <c r="C51" s="1042">
        <f t="shared" si="0"/>
        <v>100000</v>
      </c>
    </row>
    <row r="52" spans="1:3" x14ac:dyDescent="0.2">
      <c r="A52" s="25" t="s">
        <v>49</v>
      </c>
      <c r="B52" s="26">
        <v>2440</v>
      </c>
      <c r="C52" s="1042">
        <f t="shared" si="0"/>
        <v>100000</v>
      </c>
    </row>
    <row r="53" spans="1:3" x14ac:dyDescent="0.2">
      <c r="A53" s="25" t="s">
        <v>102</v>
      </c>
      <c r="B53" s="26">
        <v>2462</v>
      </c>
      <c r="C53" s="1042">
        <f t="shared" si="0"/>
        <v>100000</v>
      </c>
    </row>
    <row r="54" spans="1:3" x14ac:dyDescent="0.2">
      <c r="A54" s="25" t="s">
        <v>50</v>
      </c>
      <c r="B54" s="26">
        <v>2463</v>
      </c>
      <c r="C54" s="1042">
        <f t="shared" si="0"/>
        <v>100000</v>
      </c>
    </row>
    <row r="55" spans="1:3" x14ac:dyDescent="0.2">
      <c r="A55" s="25" t="s">
        <v>51</v>
      </c>
      <c r="B55" s="26">
        <v>2505</v>
      </c>
      <c r="C55" s="1042">
        <f t="shared" si="0"/>
        <v>100000</v>
      </c>
    </row>
    <row r="56" spans="1:3" x14ac:dyDescent="0.2">
      <c r="A56" s="25" t="s">
        <v>52</v>
      </c>
      <c r="B56" s="26">
        <v>2000</v>
      </c>
      <c r="C56" s="1042">
        <f t="shared" si="0"/>
        <v>100000</v>
      </c>
    </row>
    <row r="57" spans="1:3" x14ac:dyDescent="0.2">
      <c r="A57" s="25" t="s">
        <v>53</v>
      </c>
      <c r="B57" s="26">
        <v>2458</v>
      </c>
      <c r="C57" s="1042">
        <f t="shared" si="0"/>
        <v>100000</v>
      </c>
    </row>
    <row r="58" spans="1:3" x14ac:dyDescent="0.2">
      <c r="A58" s="25" t="s">
        <v>54</v>
      </c>
      <c r="B58" s="26">
        <v>2001</v>
      </c>
      <c r="C58" s="1042">
        <f t="shared" si="0"/>
        <v>100000</v>
      </c>
    </row>
    <row r="59" spans="1:3" x14ac:dyDescent="0.2">
      <c r="A59" s="25" t="s">
        <v>55</v>
      </c>
      <c r="B59" s="26">
        <v>2429</v>
      </c>
      <c r="C59" s="1042">
        <f t="shared" si="0"/>
        <v>100000</v>
      </c>
    </row>
    <row r="60" spans="1:3" x14ac:dyDescent="0.2">
      <c r="A60" s="25" t="s">
        <v>56</v>
      </c>
      <c r="B60" s="26">
        <v>2444</v>
      </c>
      <c r="C60" s="1042">
        <f t="shared" si="0"/>
        <v>100000</v>
      </c>
    </row>
    <row r="61" spans="1:3" x14ac:dyDescent="0.2">
      <c r="A61" s="25" t="s">
        <v>57</v>
      </c>
      <c r="B61" s="26">
        <v>5209</v>
      </c>
      <c r="C61" s="1042">
        <f t="shared" si="0"/>
        <v>100000</v>
      </c>
    </row>
    <row r="62" spans="1:3" x14ac:dyDescent="0.2">
      <c r="A62" s="25" t="s">
        <v>58</v>
      </c>
      <c r="B62" s="26">
        <v>2469</v>
      </c>
      <c r="C62" s="1042">
        <f t="shared" si="0"/>
        <v>100000</v>
      </c>
    </row>
    <row r="63" spans="1:3" x14ac:dyDescent="0.2">
      <c r="A63" s="22" t="s">
        <v>451</v>
      </c>
      <c r="B63" s="26">
        <v>2430</v>
      </c>
      <c r="C63" s="1042">
        <f t="shared" si="0"/>
        <v>100000</v>
      </c>
    </row>
    <row r="64" spans="1:3" x14ac:dyDescent="0.2">
      <c r="A64" s="25" t="s">
        <v>59</v>
      </c>
      <c r="B64" s="26">
        <v>2466</v>
      </c>
      <c r="C64" s="1042">
        <f t="shared" si="0"/>
        <v>100000</v>
      </c>
    </row>
    <row r="65" spans="1:4" x14ac:dyDescent="0.2">
      <c r="A65" s="25" t="s">
        <v>60</v>
      </c>
      <c r="B65" s="26">
        <v>3543</v>
      </c>
      <c r="C65" s="1042">
        <f t="shared" si="0"/>
        <v>100000</v>
      </c>
    </row>
    <row r="66" spans="1:4" x14ac:dyDescent="0.2">
      <c r="A66" s="25" t="s">
        <v>62</v>
      </c>
      <c r="B66" s="26">
        <v>3531</v>
      </c>
      <c r="C66" s="1042">
        <f t="shared" si="0"/>
        <v>100000</v>
      </c>
    </row>
    <row r="67" spans="1:4" x14ac:dyDescent="0.2">
      <c r="A67" s="25" t="s">
        <v>103</v>
      </c>
      <c r="B67" s="26">
        <v>3526</v>
      </c>
      <c r="C67" s="1042">
        <f t="shared" si="0"/>
        <v>100000</v>
      </c>
    </row>
    <row r="68" spans="1:4" x14ac:dyDescent="0.2">
      <c r="A68" s="25" t="s">
        <v>104</v>
      </c>
      <c r="B68" s="26">
        <v>3535</v>
      </c>
      <c r="C68" s="1042">
        <f t="shared" si="0"/>
        <v>100000</v>
      </c>
    </row>
    <row r="69" spans="1:4" x14ac:dyDescent="0.2">
      <c r="A69" s="1029" t="s">
        <v>64</v>
      </c>
      <c r="B69" s="26">
        <v>2008</v>
      </c>
      <c r="C69" s="1042">
        <f t="shared" si="0"/>
        <v>100000</v>
      </c>
    </row>
    <row r="70" spans="1:4" x14ac:dyDescent="0.2">
      <c r="A70" s="25" t="s">
        <v>105</v>
      </c>
      <c r="B70" s="26">
        <v>3542</v>
      </c>
      <c r="C70" s="1042">
        <f t="shared" si="0"/>
        <v>100000</v>
      </c>
    </row>
    <row r="71" spans="1:4" x14ac:dyDescent="0.2">
      <c r="A71" s="25" t="s">
        <v>106</v>
      </c>
      <c r="B71" s="26">
        <v>3528</v>
      </c>
      <c r="C71" s="1042">
        <f t="shared" si="0"/>
        <v>100000</v>
      </c>
    </row>
    <row r="72" spans="1:4" x14ac:dyDescent="0.2">
      <c r="A72" s="25" t="s">
        <v>107</v>
      </c>
      <c r="B72" s="26">
        <v>3534</v>
      </c>
      <c r="C72" s="1042">
        <f t="shared" ref="C72:C76" si="1">C$1</f>
        <v>100000</v>
      </c>
    </row>
    <row r="73" spans="1:4" x14ac:dyDescent="0.2">
      <c r="A73" s="25" t="s">
        <v>108</v>
      </c>
      <c r="B73" s="26">
        <v>3532</v>
      </c>
      <c r="C73" s="1042">
        <f t="shared" si="1"/>
        <v>100000</v>
      </c>
    </row>
    <row r="74" spans="1:4" x14ac:dyDescent="0.2">
      <c r="A74" s="25" t="s">
        <v>65</v>
      </c>
      <c r="B74" s="26">
        <v>3546</v>
      </c>
      <c r="C74" s="1042">
        <f t="shared" si="1"/>
        <v>100000</v>
      </c>
    </row>
    <row r="75" spans="1:4" x14ac:dyDescent="0.2">
      <c r="A75" s="25" t="s">
        <v>109</v>
      </c>
      <c r="B75" s="26">
        <v>3530</v>
      </c>
      <c r="C75" s="1042">
        <f t="shared" si="1"/>
        <v>100000</v>
      </c>
    </row>
    <row r="76" spans="1:4" x14ac:dyDescent="0.2">
      <c r="A76" s="25" t="s">
        <v>67</v>
      </c>
      <c r="B76" s="26">
        <v>2459</v>
      </c>
      <c r="C76" s="1042">
        <f t="shared" si="1"/>
        <v>100000</v>
      </c>
    </row>
    <row r="77" spans="1:4" x14ac:dyDescent="0.2">
      <c r="A77" s="9" t="s">
        <v>912</v>
      </c>
      <c r="B77" s="10">
        <v>4000</v>
      </c>
      <c r="C77" s="1042">
        <v>100000</v>
      </c>
      <c r="D77" s="22" t="s">
        <v>1091</v>
      </c>
    </row>
    <row r="78" spans="1:4" x14ac:dyDescent="0.2">
      <c r="A78" s="25"/>
      <c r="B78" s="26"/>
      <c r="C78" s="23"/>
    </row>
    <row r="79" spans="1:4" x14ac:dyDescent="0.2">
      <c r="A79" s="24" t="s">
        <v>110</v>
      </c>
      <c r="B79" s="24" t="s">
        <v>110</v>
      </c>
      <c r="C79" s="1026">
        <f>SUM(C7:C77)</f>
        <v>7100000</v>
      </c>
    </row>
    <row r="80" spans="1:4" x14ac:dyDescent="0.2">
      <c r="A80" s="25"/>
      <c r="B80" s="26"/>
      <c r="C80" s="23"/>
    </row>
    <row r="81" spans="1:3" x14ac:dyDescent="0.2">
      <c r="A81" s="25" t="s">
        <v>75</v>
      </c>
      <c r="B81" s="26">
        <v>5402</v>
      </c>
      <c r="C81" s="1042">
        <f>SUM($C$2)</f>
        <v>150000</v>
      </c>
    </row>
    <row r="82" spans="1:3" x14ac:dyDescent="0.2">
      <c r="A82" s="25" t="s">
        <v>68</v>
      </c>
      <c r="B82" s="26">
        <v>4608</v>
      </c>
      <c r="C82" s="1042">
        <f t="shared" ref="C82:C92" si="2">SUM($C$2)</f>
        <v>150000</v>
      </c>
    </row>
    <row r="83" spans="1:3" x14ac:dyDescent="0.2">
      <c r="A83" s="25" t="s">
        <v>111</v>
      </c>
      <c r="B83" s="26">
        <v>4178</v>
      </c>
      <c r="C83" s="1042">
        <f t="shared" si="2"/>
        <v>150000</v>
      </c>
    </row>
    <row r="84" spans="1:3" x14ac:dyDescent="0.2">
      <c r="A84" s="25" t="s">
        <v>69</v>
      </c>
      <c r="B84" s="26">
        <v>4181</v>
      </c>
      <c r="C84" s="1042">
        <f t="shared" si="2"/>
        <v>150000</v>
      </c>
    </row>
    <row r="85" spans="1:3" x14ac:dyDescent="0.2">
      <c r="A85" s="25" t="s">
        <v>70</v>
      </c>
      <c r="B85" s="26">
        <v>4182</v>
      </c>
      <c r="C85" s="1042">
        <f t="shared" si="2"/>
        <v>150000</v>
      </c>
    </row>
    <row r="86" spans="1:3" x14ac:dyDescent="0.2">
      <c r="A86" s="25" t="s">
        <v>71</v>
      </c>
      <c r="B86" s="39">
        <v>4001</v>
      </c>
      <c r="C86" s="1042">
        <f t="shared" si="2"/>
        <v>150000</v>
      </c>
    </row>
    <row r="87" spans="1:3" x14ac:dyDescent="0.2">
      <c r="A87" s="25" t="s">
        <v>112</v>
      </c>
      <c r="B87" s="26">
        <v>5406</v>
      </c>
      <c r="C87" s="1042">
        <f t="shared" si="2"/>
        <v>150000</v>
      </c>
    </row>
    <row r="88" spans="1:3" x14ac:dyDescent="0.2">
      <c r="A88" s="25" t="s">
        <v>113</v>
      </c>
      <c r="B88" s="26">
        <v>5407</v>
      </c>
      <c r="C88" s="1042">
        <f t="shared" si="2"/>
        <v>150000</v>
      </c>
    </row>
    <row r="89" spans="1:3" x14ac:dyDescent="0.2">
      <c r="A89" s="25" t="s">
        <v>72</v>
      </c>
      <c r="B89" s="26">
        <v>4607</v>
      </c>
      <c r="C89" s="1042">
        <f t="shared" si="2"/>
        <v>150000</v>
      </c>
    </row>
    <row r="90" spans="1:3" x14ac:dyDescent="0.2">
      <c r="A90" s="25" t="s">
        <v>1046</v>
      </c>
      <c r="B90" s="39">
        <v>4002</v>
      </c>
      <c r="C90" s="1042">
        <f t="shared" si="2"/>
        <v>150000</v>
      </c>
    </row>
    <row r="91" spans="1:3" x14ac:dyDescent="0.2">
      <c r="A91" s="25" t="s">
        <v>74</v>
      </c>
      <c r="B91" s="26">
        <v>5412</v>
      </c>
      <c r="C91" s="1042">
        <f t="shared" si="2"/>
        <v>150000</v>
      </c>
    </row>
    <row r="92" spans="1:3" x14ac:dyDescent="0.2">
      <c r="A92" s="25" t="s">
        <v>73</v>
      </c>
      <c r="B92" s="26">
        <v>5414</v>
      </c>
      <c r="C92" s="1042">
        <f t="shared" si="2"/>
        <v>150000</v>
      </c>
    </row>
    <row r="93" spans="1:3" x14ac:dyDescent="0.2">
      <c r="A93" s="9" t="s">
        <v>597</v>
      </c>
      <c r="B93" s="10">
        <v>6905</v>
      </c>
      <c r="C93" s="1042">
        <v>150000</v>
      </c>
    </row>
    <row r="94" spans="1:3" x14ac:dyDescent="0.2">
      <c r="A94" s="25"/>
      <c r="B94" s="26"/>
      <c r="C94" s="23"/>
    </row>
    <row r="95" spans="1:3" x14ac:dyDescent="0.2">
      <c r="A95" s="24" t="s">
        <v>115</v>
      </c>
      <c r="B95" s="24" t="s">
        <v>115</v>
      </c>
      <c r="C95" s="1026">
        <f>SUM(C81:C93)</f>
        <v>1950000</v>
      </c>
    </row>
    <row r="96" spans="1:3" x14ac:dyDescent="0.2">
      <c r="A96" s="24"/>
      <c r="B96" s="24"/>
      <c r="C96" s="1026"/>
    </row>
    <row r="97" spans="1:4" x14ac:dyDescent="0.2">
      <c r="A97" s="9" t="s">
        <v>114</v>
      </c>
      <c r="B97" s="26">
        <v>4177</v>
      </c>
      <c r="C97" s="1042">
        <f t="shared" ref="C97" si="3">SUM($C$2)</f>
        <v>150000</v>
      </c>
    </row>
    <row r="98" spans="1:4" x14ac:dyDescent="0.2">
      <c r="A98" s="1"/>
      <c r="B98" s="24"/>
      <c r="C98" s="1026"/>
    </row>
    <row r="99" spans="1:4" x14ac:dyDescent="0.2">
      <c r="A99" s="1" t="s">
        <v>914</v>
      </c>
      <c r="B99" s="1" t="s">
        <v>915</v>
      </c>
      <c r="C99" s="1026">
        <f>C97</f>
        <v>150000</v>
      </c>
    </row>
    <row r="100" spans="1:4" x14ac:dyDescent="0.2">
      <c r="A100" s="25"/>
      <c r="B100" s="26"/>
      <c r="C100" s="23"/>
    </row>
    <row r="101" spans="1:4" x14ac:dyDescent="0.2">
      <c r="A101" s="24" t="s">
        <v>116</v>
      </c>
      <c r="B101" s="24" t="s">
        <v>117</v>
      </c>
      <c r="C101" s="1026">
        <f>C95+C79+C99</f>
        <v>9200000</v>
      </c>
      <c r="D101" s="22" t="s">
        <v>1092</v>
      </c>
    </row>
    <row r="105" spans="1:4" x14ac:dyDescent="0.2">
      <c r="C105" s="1026"/>
      <c r="D105" s="1048"/>
    </row>
    <row r="106" spans="1:4" x14ac:dyDescent="0.2">
      <c r="C106" s="23"/>
    </row>
    <row r="112" spans="1:4" x14ac:dyDescent="0.2">
      <c r="A112" s="79" t="s">
        <v>249</v>
      </c>
      <c r="B112" s="79">
        <v>206189</v>
      </c>
    </row>
    <row r="113" spans="1:2" x14ac:dyDescent="0.2">
      <c r="A113" s="1158" t="s">
        <v>10</v>
      </c>
      <c r="B113" s="94">
        <v>2012</v>
      </c>
    </row>
    <row r="114" spans="1:2" x14ac:dyDescent="0.2">
      <c r="A114" s="1158" t="s">
        <v>73</v>
      </c>
      <c r="B114" s="94">
        <v>5414</v>
      </c>
    </row>
    <row r="115" spans="1:2" x14ac:dyDescent="0.2">
      <c r="A115" s="1158" t="s">
        <v>912</v>
      </c>
      <c r="B115" s="94">
        <v>4000</v>
      </c>
    </row>
    <row r="116" spans="1:2" x14ac:dyDescent="0.2">
      <c r="A116" s="79" t="s">
        <v>11</v>
      </c>
      <c r="B116" s="79">
        <v>2443</v>
      </c>
    </row>
    <row r="117" spans="1:2" x14ac:dyDescent="0.2">
      <c r="A117" s="1158" t="s">
        <v>94</v>
      </c>
      <c r="B117" s="94">
        <v>2442</v>
      </c>
    </row>
    <row r="118" spans="1:2" x14ac:dyDescent="0.2">
      <c r="A118" s="80" t="s">
        <v>252</v>
      </c>
      <c r="B118" s="80" t="s">
        <v>253</v>
      </c>
    </row>
    <row r="119" spans="1:2" x14ac:dyDescent="0.2">
      <c r="A119" s="79" t="s">
        <v>13</v>
      </c>
      <c r="B119" s="79">
        <v>2629</v>
      </c>
    </row>
    <row r="120" spans="1:2" x14ac:dyDescent="0.2">
      <c r="A120" s="1158" t="s">
        <v>14</v>
      </c>
      <c r="B120" s="94">
        <v>2509</v>
      </c>
    </row>
    <row r="121" spans="1:2" x14ac:dyDescent="0.2">
      <c r="A121" s="79" t="s">
        <v>2</v>
      </c>
      <c r="B121" s="79">
        <v>1014</v>
      </c>
    </row>
    <row r="122" spans="1:2" x14ac:dyDescent="0.2">
      <c r="A122" s="1158" t="s">
        <v>15</v>
      </c>
      <c r="B122" s="94">
        <v>2005</v>
      </c>
    </row>
    <row r="123" spans="1:2" x14ac:dyDescent="0.2">
      <c r="A123" s="79" t="s">
        <v>16</v>
      </c>
      <c r="B123" s="79">
        <v>2464</v>
      </c>
    </row>
    <row r="124" spans="1:2" x14ac:dyDescent="0.2">
      <c r="A124" s="661" t="s">
        <v>763</v>
      </c>
      <c r="B124" s="697" t="s">
        <v>765</v>
      </c>
    </row>
    <row r="125" spans="1:2" x14ac:dyDescent="0.2">
      <c r="A125" s="79" t="s">
        <v>17</v>
      </c>
      <c r="B125" s="79">
        <v>2004</v>
      </c>
    </row>
    <row r="126" spans="1:2" x14ac:dyDescent="0.2">
      <c r="A126" s="79" t="s">
        <v>18</v>
      </c>
      <c r="B126" s="79">
        <v>2405</v>
      </c>
    </row>
    <row r="127" spans="1:2" x14ac:dyDescent="0.2">
      <c r="A127" s="79" t="s">
        <v>254</v>
      </c>
      <c r="B127" s="79" t="s">
        <v>256</v>
      </c>
    </row>
    <row r="128" spans="1:2" ht="15" x14ac:dyDescent="0.25">
      <c r="A128" s="1160" t="s">
        <v>261</v>
      </c>
      <c r="B128" s="1162" t="s">
        <v>766</v>
      </c>
    </row>
    <row r="129" spans="1:2" x14ac:dyDescent="0.2">
      <c r="A129" s="1163" t="s">
        <v>257</v>
      </c>
      <c r="B129" s="1164" t="s">
        <v>258</v>
      </c>
    </row>
    <row r="130" spans="1:2" x14ac:dyDescent="0.2">
      <c r="A130" s="1160" t="s">
        <v>259</v>
      </c>
      <c r="B130" s="1165" t="s">
        <v>260</v>
      </c>
    </row>
    <row r="131" spans="1:2" x14ac:dyDescent="0.2">
      <c r="A131" s="79" t="s">
        <v>19</v>
      </c>
      <c r="B131" s="79">
        <v>2011</v>
      </c>
    </row>
    <row r="132" spans="1:2" x14ac:dyDescent="0.2">
      <c r="A132" s="80" t="s">
        <v>262</v>
      </c>
      <c r="B132" s="80" t="s">
        <v>263</v>
      </c>
    </row>
    <row r="133" spans="1:2" x14ac:dyDescent="0.2">
      <c r="A133" s="79" t="s">
        <v>20</v>
      </c>
      <c r="B133" s="79">
        <v>5201</v>
      </c>
    </row>
    <row r="134" spans="1:2" x14ac:dyDescent="0.2">
      <c r="A134" s="79" t="s">
        <v>264</v>
      </c>
      <c r="B134" s="79">
        <v>206124</v>
      </c>
    </row>
    <row r="135" spans="1:2" x14ac:dyDescent="0.2">
      <c r="A135" s="79" t="s">
        <v>21</v>
      </c>
      <c r="B135" s="79">
        <v>2433</v>
      </c>
    </row>
    <row r="136" spans="1:2" x14ac:dyDescent="0.2">
      <c r="A136" s="1158" t="s">
        <v>22</v>
      </c>
      <c r="B136" s="94">
        <v>2432</v>
      </c>
    </row>
    <row r="137" spans="1:2" x14ac:dyDescent="0.2">
      <c r="A137" s="79" t="s">
        <v>267</v>
      </c>
      <c r="B137" s="79" t="s">
        <v>269</v>
      </c>
    </row>
    <row r="138" spans="1:2" x14ac:dyDescent="0.2">
      <c r="A138" s="79" t="s">
        <v>199</v>
      </c>
      <c r="B138" s="79">
        <v>2447</v>
      </c>
    </row>
    <row r="139" spans="1:2" x14ac:dyDescent="0.2">
      <c r="A139" s="79" t="s">
        <v>23</v>
      </c>
      <c r="B139" s="79">
        <v>2512</v>
      </c>
    </row>
    <row r="140" spans="1:2" x14ac:dyDescent="0.2">
      <c r="A140" s="79" t="s">
        <v>270</v>
      </c>
      <c r="B140" s="79">
        <v>206126</v>
      </c>
    </row>
    <row r="141" spans="1:2" x14ac:dyDescent="0.2">
      <c r="A141" s="79" t="s">
        <v>272</v>
      </c>
      <c r="B141" s="79">
        <v>206111</v>
      </c>
    </row>
    <row r="142" spans="1:2" x14ac:dyDescent="0.2">
      <c r="A142" s="79" t="s">
        <v>274</v>
      </c>
      <c r="B142" s="79">
        <v>206091</v>
      </c>
    </row>
    <row r="143" spans="1:2" x14ac:dyDescent="0.2">
      <c r="A143" s="79" t="s">
        <v>24</v>
      </c>
      <c r="B143" s="79">
        <v>2456</v>
      </c>
    </row>
    <row r="144" spans="1:2" x14ac:dyDescent="0.2">
      <c r="A144" s="79" t="s">
        <v>3</v>
      </c>
      <c r="B144" s="79">
        <v>1017</v>
      </c>
    </row>
    <row r="145" spans="1:2" x14ac:dyDescent="0.2">
      <c r="A145" s="79" t="s">
        <v>25</v>
      </c>
      <c r="B145" s="79">
        <v>2449</v>
      </c>
    </row>
    <row r="146" spans="1:2" x14ac:dyDescent="0.2">
      <c r="A146" s="1158" t="s">
        <v>26</v>
      </c>
      <c r="B146" s="79">
        <v>2448</v>
      </c>
    </row>
    <row r="147" spans="1:2" x14ac:dyDescent="0.2">
      <c r="A147" s="79" t="s">
        <v>4</v>
      </c>
      <c r="B147" s="79">
        <v>1006</v>
      </c>
    </row>
    <row r="148" spans="1:2" x14ac:dyDescent="0.2">
      <c r="A148" s="79" t="s">
        <v>27</v>
      </c>
      <c r="B148" s="79">
        <v>2467</v>
      </c>
    </row>
    <row r="149" spans="1:2" x14ac:dyDescent="0.2">
      <c r="A149" s="1158" t="s">
        <v>75</v>
      </c>
      <c r="B149" s="94">
        <v>5402</v>
      </c>
    </row>
    <row r="150" spans="1:2" x14ac:dyDescent="0.2">
      <c r="A150" s="1158" t="s">
        <v>28</v>
      </c>
      <c r="B150" s="94">
        <v>2455</v>
      </c>
    </row>
    <row r="151" spans="1:2" x14ac:dyDescent="0.2">
      <c r="A151" s="1158" t="s">
        <v>29</v>
      </c>
      <c r="B151" s="94">
        <v>5203</v>
      </c>
    </row>
    <row r="152" spans="1:2" x14ac:dyDescent="0.2">
      <c r="A152" s="107" t="s">
        <v>30</v>
      </c>
      <c r="B152" s="79">
        <v>2451</v>
      </c>
    </row>
    <row r="153" spans="1:2" x14ac:dyDescent="0.2">
      <c r="A153" s="80" t="s">
        <v>276</v>
      </c>
      <c r="B153" s="80" t="s">
        <v>277</v>
      </c>
    </row>
    <row r="154" spans="1:2" x14ac:dyDescent="0.2">
      <c r="A154" s="79" t="s">
        <v>278</v>
      </c>
      <c r="B154" s="79">
        <v>206128</v>
      </c>
    </row>
    <row r="155" spans="1:2" x14ac:dyDescent="0.2">
      <c r="A155" s="1158" t="s">
        <v>452</v>
      </c>
      <c r="B155" s="94">
        <v>4002</v>
      </c>
    </row>
    <row r="156" spans="1:2" x14ac:dyDescent="0.2">
      <c r="A156" s="456" t="s">
        <v>455</v>
      </c>
      <c r="B156" s="79">
        <v>2430</v>
      </c>
    </row>
    <row r="157" spans="1:2" x14ac:dyDescent="0.2">
      <c r="A157" s="1167" t="s">
        <v>768</v>
      </c>
      <c r="B157" s="1169" t="s">
        <v>769</v>
      </c>
    </row>
    <row r="158" spans="1:2" x14ac:dyDescent="0.2">
      <c r="A158" s="1158" t="s">
        <v>68</v>
      </c>
      <c r="B158" s="94">
        <v>4608</v>
      </c>
    </row>
    <row r="159" spans="1:2" x14ac:dyDescent="0.2">
      <c r="A159" s="1158" t="s">
        <v>31</v>
      </c>
      <c r="B159" s="94">
        <v>2409</v>
      </c>
    </row>
    <row r="160" spans="1:2" x14ac:dyDescent="0.2">
      <c r="A160" s="1170" t="s">
        <v>281</v>
      </c>
      <c r="B160" s="1168" t="s">
        <v>282</v>
      </c>
    </row>
    <row r="161" spans="1:2" x14ac:dyDescent="0.2">
      <c r="A161" s="1171" t="s">
        <v>1401</v>
      </c>
      <c r="B161" s="1173" t="s">
        <v>771</v>
      </c>
    </row>
    <row r="162" spans="1:2" x14ac:dyDescent="0.2">
      <c r="A162" s="1174" t="s">
        <v>539</v>
      </c>
      <c r="B162" s="96">
        <v>205921</v>
      </c>
    </row>
    <row r="163" spans="1:2" x14ac:dyDescent="0.2">
      <c r="A163" s="1171" t="s">
        <v>1372</v>
      </c>
      <c r="B163" s="1154" t="s">
        <v>776</v>
      </c>
    </row>
    <row r="164" spans="1:2" x14ac:dyDescent="0.2">
      <c r="A164" s="1174" t="s">
        <v>538</v>
      </c>
      <c r="B164" s="96">
        <v>205999</v>
      </c>
    </row>
    <row r="165" spans="1:2" x14ac:dyDescent="0.2">
      <c r="A165" s="96" t="s">
        <v>537</v>
      </c>
      <c r="B165" s="95" t="s">
        <v>283</v>
      </c>
    </row>
    <row r="166" spans="1:2" x14ac:dyDescent="0.2">
      <c r="A166" s="1171" t="s">
        <v>1373</v>
      </c>
      <c r="B166" s="1153">
        <v>206065</v>
      </c>
    </row>
    <row r="167" spans="1:2" x14ac:dyDescent="0.2">
      <c r="A167" s="1175" t="s">
        <v>1375</v>
      </c>
      <c r="B167" s="1154" t="s">
        <v>787</v>
      </c>
    </row>
    <row r="168" spans="1:2" x14ac:dyDescent="0.2">
      <c r="A168" s="456" t="s">
        <v>589</v>
      </c>
      <c r="B168" s="1176" t="s">
        <v>288</v>
      </c>
    </row>
    <row r="169" spans="1:2" x14ac:dyDescent="0.2">
      <c r="A169" s="1177" t="s">
        <v>540</v>
      </c>
      <c r="B169" s="96">
        <v>205922</v>
      </c>
    </row>
    <row r="170" spans="1:2" x14ac:dyDescent="0.2">
      <c r="A170" s="456" t="s">
        <v>587</v>
      </c>
      <c r="B170" s="1154" t="s">
        <v>784</v>
      </c>
    </row>
    <row r="171" spans="1:2" x14ac:dyDescent="0.2">
      <c r="A171" s="1171" t="s">
        <v>1374</v>
      </c>
      <c r="B171" s="1154" t="s">
        <v>781</v>
      </c>
    </row>
    <row r="172" spans="1:2" x14ac:dyDescent="0.2">
      <c r="A172" s="1171" t="s">
        <v>1376</v>
      </c>
      <c r="B172" s="1178">
        <v>205919</v>
      </c>
    </row>
    <row r="173" spans="1:2" x14ac:dyDescent="0.2">
      <c r="A173" s="96" t="s">
        <v>541</v>
      </c>
      <c r="B173" s="95" t="s">
        <v>287</v>
      </c>
    </row>
    <row r="174" spans="1:2" x14ac:dyDescent="0.2">
      <c r="A174" s="1171" t="s">
        <v>1377</v>
      </c>
      <c r="B174" s="1179" t="s">
        <v>791</v>
      </c>
    </row>
    <row r="175" spans="1:2" x14ac:dyDescent="0.2">
      <c r="A175" s="1171" t="s">
        <v>1378</v>
      </c>
      <c r="B175" s="1169" t="s">
        <v>793</v>
      </c>
    </row>
    <row r="176" spans="1:2" x14ac:dyDescent="0.2">
      <c r="A176" s="1180" t="s">
        <v>1380</v>
      </c>
      <c r="B176" s="1154" t="s">
        <v>796</v>
      </c>
    </row>
    <row r="177" spans="1:2" x14ac:dyDescent="0.2">
      <c r="A177" s="1181" t="s">
        <v>1379</v>
      </c>
      <c r="B177" s="697">
        <v>205849</v>
      </c>
    </row>
    <row r="178" spans="1:2" x14ac:dyDescent="0.2">
      <c r="A178" s="456" t="s">
        <v>594</v>
      </c>
      <c r="B178" s="1176" t="s">
        <v>284</v>
      </c>
    </row>
    <row r="179" spans="1:2" x14ac:dyDescent="0.2">
      <c r="A179" s="1182" t="s">
        <v>1381</v>
      </c>
      <c r="B179" s="1154" t="s">
        <v>798</v>
      </c>
    </row>
    <row r="180" spans="1:2" x14ac:dyDescent="0.2">
      <c r="A180" s="1183" t="s">
        <v>1385</v>
      </c>
      <c r="B180" s="1184">
        <v>205922</v>
      </c>
    </row>
    <row r="181" spans="1:2" x14ac:dyDescent="0.2">
      <c r="A181" s="1185" t="s">
        <v>1384</v>
      </c>
      <c r="B181" s="1179">
        <v>205881</v>
      </c>
    </row>
    <row r="182" spans="1:2" x14ac:dyDescent="0.2">
      <c r="A182" s="1186" t="s">
        <v>1382</v>
      </c>
      <c r="B182" s="1187" t="s">
        <v>801</v>
      </c>
    </row>
    <row r="183" spans="1:2" x14ac:dyDescent="0.2">
      <c r="A183" s="1174" t="s">
        <v>542</v>
      </c>
      <c r="B183" s="96" t="s">
        <v>289</v>
      </c>
    </row>
    <row r="184" spans="1:2" x14ac:dyDescent="0.2">
      <c r="A184" s="1171" t="s">
        <v>1383</v>
      </c>
      <c r="B184" s="1179" t="s">
        <v>806</v>
      </c>
    </row>
    <row r="185" spans="1:2" x14ac:dyDescent="0.2">
      <c r="A185" s="1185" t="s">
        <v>807</v>
      </c>
      <c r="B185" s="1179" t="s">
        <v>808</v>
      </c>
    </row>
    <row r="186" spans="1:2" x14ac:dyDescent="0.2">
      <c r="A186" s="1185" t="s">
        <v>1386</v>
      </c>
      <c r="B186" s="1189" t="s">
        <v>811</v>
      </c>
    </row>
    <row r="187" spans="1:2" x14ac:dyDescent="0.2">
      <c r="A187" s="1181" t="s">
        <v>543</v>
      </c>
      <c r="B187" s="96">
        <v>2</v>
      </c>
    </row>
    <row r="188" spans="1:2" x14ac:dyDescent="0.2">
      <c r="A188" s="1192" t="s">
        <v>1387</v>
      </c>
      <c r="B188" s="1150" t="s">
        <v>668</v>
      </c>
    </row>
    <row r="189" spans="1:2" x14ac:dyDescent="0.2">
      <c r="A189" s="693" t="s">
        <v>1388</v>
      </c>
      <c r="B189" s="1179" t="s">
        <v>686</v>
      </c>
    </row>
    <row r="190" spans="1:2" x14ac:dyDescent="0.2">
      <c r="A190" s="96" t="s">
        <v>544</v>
      </c>
      <c r="B190" s="1184">
        <v>205956</v>
      </c>
    </row>
    <row r="191" spans="1:2" x14ac:dyDescent="0.2">
      <c r="A191" s="702" t="s">
        <v>1389</v>
      </c>
      <c r="B191" s="1169">
        <v>260849</v>
      </c>
    </row>
    <row r="192" spans="1:2" x14ac:dyDescent="0.2">
      <c r="A192" s="693" t="s">
        <v>1390</v>
      </c>
      <c r="B192" s="1169" t="s">
        <v>818</v>
      </c>
    </row>
    <row r="193" spans="1:2" x14ac:dyDescent="0.2">
      <c r="A193" s="1193" t="s">
        <v>1391</v>
      </c>
      <c r="B193" s="1165" t="s">
        <v>291</v>
      </c>
    </row>
    <row r="194" spans="1:2" x14ac:dyDescent="0.2">
      <c r="A194" s="1145" t="s">
        <v>1392</v>
      </c>
      <c r="B194" s="1154" t="s">
        <v>821</v>
      </c>
    </row>
    <row r="195" spans="1:2" x14ac:dyDescent="0.2">
      <c r="A195" s="1142" t="s">
        <v>1394</v>
      </c>
      <c r="B195" s="1154" t="s">
        <v>825</v>
      </c>
    </row>
    <row r="196" spans="1:2" x14ac:dyDescent="0.2">
      <c r="A196" s="1142" t="s">
        <v>1393</v>
      </c>
      <c r="B196" s="1189" t="s">
        <v>823</v>
      </c>
    </row>
    <row r="197" spans="1:2" x14ac:dyDescent="0.2">
      <c r="A197" s="583" t="s">
        <v>1396</v>
      </c>
      <c r="B197" s="1154" t="s">
        <v>830</v>
      </c>
    </row>
    <row r="198" spans="1:2" x14ac:dyDescent="0.2">
      <c r="A198" s="1143" t="s">
        <v>1395</v>
      </c>
      <c r="B198" s="1154" t="s">
        <v>827</v>
      </c>
    </row>
    <row r="199" spans="1:2" x14ac:dyDescent="0.2">
      <c r="A199" s="1181" t="s">
        <v>591</v>
      </c>
      <c r="B199" s="95" t="s">
        <v>293</v>
      </c>
    </row>
    <row r="200" spans="1:2" x14ac:dyDescent="0.2">
      <c r="A200" s="1142" t="s">
        <v>1402</v>
      </c>
      <c r="B200" s="697" t="s">
        <v>833</v>
      </c>
    </row>
    <row r="201" spans="1:2" x14ac:dyDescent="0.2">
      <c r="A201" s="1142" t="s">
        <v>1403</v>
      </c>
      <c r="B201" s="1154" t="s">
        <v>835</v>
      </c>
    </row>
    <row r="202" spans="1:2" x14ac:dyDescent="0.2">
      <c r="A202" s="1174" t="s">
        <v>547</v>
      </c>
      <c r="B202" s="95" t="s">
        <v>295</v>
      </c>
    </row>
    <row r="203" spans="1:2" x14ac:dyDescent="0.2">
      <c r="A203" s="1148" t="s">
        <v>1397</v>
      </c>
      <c r="B203" s="1154">
        <v>206031</v>
      </c>
    </row>
    <row r="204" spans="1:2" x14ac:dyDescent="0.2">
      <c r="A204" s="1174" t="s">
        <v>546</v>
      </c>
      <c r="B204" s="95" t="s">
        <v>296</v>
      </c>
    </row>
    <row r="205" spans="1:2" x14ac:dyDescent="0.2">
      <c r="A205" s="96" t="s">
        <v>545</v>
      </c>
      <c r="B205" s="95" t="s">
        <v>294</v>
      </c>
    </row>
    <row r="206" spans="1:2" x14ac:dyDescent="0.2">
      <c r="A206" s="1143" t="s">
        <v>1398</v>
      </c>
      <c r="B206" s="1154" t="s">
        <v>840</v>
      </c>
    </row>
    <row r="207" spans="1:2" x14ac:dyDescent="0.2">
      <c r="A207" s="96" t="s">
        <v>1371</v>
      </c>
      <c r="B207" s="95" t="s">
        <v>298</v>
      </c>
    </row>
    <row r="208" spans="1:2" x14ac:dyDescent="0.2">
      <c r="A208" s="1143" t="s">
        <v>1407</v>
      </c>
      <c r="B208" s="1179" t="s">
        <v>844</v>
      </c>
    </row>
    <row r="209" spans="1:2" x14ac:dyDescent="0.2">
      <c r="A209" s="1181" t="s">
        <v>592</v>
      </c>
      <c r="B209" s="1184">
        <v>206043</v>
      </c>
    </row>
    <row r="210" spans="1:2" x14ac:dyDescent="0.2">
      <c r="A210" s="1177" t="s">
        <v>548</v>
      </c>
      <c r="B210" s="95" t="s">
        <v>299</v>
      </c>
    </row>
    <row r="211" spans="1:2" x14ac:dyDescent="0.2">
      <c r="A211" s="1194" t="s">
        <v>590</v>
      </c>
      <c r="B211" s="1195" t="s">
        <v>292</v>
      </c>
    </row>
    <row r="212" spans="1:2" x14ac:dyDescent="0.2">
      <c r="A212" s="1196" t="s">
        <v>593</v>
      </c>
      <c r="B212" s="1197" t="s">
        <v>297</v>
      </c>
    </row>
    <row r="213" spans="1:2" x14ac:dyDescent="0.2">
      <c r="A213" s="1143" t="s">
        <v>1406</v>
      </c>
      <c r="B213" s="1154">
        <v>206067</v>
      </c>
    </row>
    <row r="214" spans="1:2" ht="15" x14ac:dyDescent="0.2">
      <c r="A214" s="1177" t="s">
        <v>549</v>
      </c>
      <c r="B214" s="97" t="s">
        <v>300</v>
      </c>
    </row>
    <row r="215" spans="1:2" x14ac:dyDescent="0.2">
      <c r="A215" s="1190" t="s">
        <v>1400</v>
      </c>
      <c r="B215" s="1191" t="s">
        <v>290</v>
      </c>
    </row>
    <row r="216" spans="1:2" x14ac:dyDescent="0.2">
      <c r="A216" s="1198" t="s">
        <v>550</v>
      </c>
      <c r="B216" s="98" t="s">
        <v>301</v>
      </c>
    </row>
    <row r="217" spans="1:2" x14ac:dyDescent="0.2">
      <c r="A217" s="1147" t="s">
        <v>1404</v>
      </c>
      <c r="B217" s="1209" t="s">
        <v>854</v>
      </c>
    </row>
    <row r="218" spans="1:2" x14ac:dyDescent="0.2">
      <c r="A218" s="456" t="s">
        <v>595</v>
      </c>
      <c r="B218" s="1176" t="s">
        <v>285</v>
      </c>
    </row>
    <row r="219" spans="1:2" x14ac:dyDescent="0.2">
      <c r="A219" s="1147" t="s">
        <v>1405</v>
      </c>
      <c r="B219" s="1209" t="s">
        <v>856</v>
      </c>
    </row>
    <row r="220" spans="1:2" x14ac:dyDescent="0.2">
      <c r="A220" s="87" t="s">
        <v>302</v>
      </c>
      <c r="B220" s="88" t="s">
        <v>303</v>
      </c>
    </row>
    <row r="221" spans="1:2" x14ac:dyDescent="0.2">
      <c r="A221" s="79" t="s">
        <v>304</v>
      </c>
      <c r="B221" s="79" t="s">
        <v>306</v>
      </c>
    </row>
    <row r="222" spans="1:2" x14ac:dyDescent="0.2">
      <c r="A222" s="1144" t="s">
        <v>858</v>
      </c>
      <c r="B222" s="1169" t="s">
        <v>859</v>
      </c>
    </row>
    <row r="223" spans="1:2" x14ac:dyDescent="0.2">
      <c r="A223" s="1158" t="s">
        <v>111</v>
      </c>
      <c r="B223" s="94">
        <v>4178</v>
      </c>
    </row>
    <row r="224" spans="1:2" x14ac:dyDescent="0.2">
      <c r="A224" s="1158" t="s">
        <v>98</v>
      </c>
      <c r="B224" s="94">
        <v>3158</v>
      </c>
    </row>
    <row r="225" spans="1:2" x14ac:dyDescent="0.2">
      <c r="A225" s="79" t="s">
        <v>32</v>
      </c>
      <c r="B225" s="79">
        <v>2619</v>
      </c>
    </row>
    <row r="226" spans="1:2" x14ac:dyDescent="0.2">
      <c r="A226" s="1141" t="s">
        <v>860</v>
      </c>
      <c r="B226" s="1154" t="s">
        <v>861</v>
      </c>
    </row>
    <row r="227" spans="1:2" x14ac:dyDescent="0.2">
      <c r="A227" s="79" t="s">
        <v>307</v>
      </c>
      <c r="B227" s="80" t="s">
        <v>308</v>
      </c>
    </row>
    <row r="228" spans="1:2" x14ac:dyDescent="0.2">
      <c r="A228" s="79" t="s">
        <v>309</v>
      </c>
      <c r="B228" s="79">
        <v>258417</v>
      </c>
    </row>
    <row r="229" spans="1:2" x14ac:dyDescent="0.2">
      <c r="A229" s="79" t="s">
        <v>311</v>
      </c>
      <c r="B229" s="79" t="s">
        <v>313</v>
      </c>
    </row>
    <row r="230" spans="1:2" x14ac:dyDescent="0.2">
      <c r="A230" s="79" t="s">
        <v>314</v>
      </c>
      <c r="B230" s="79" t="s">
        <v>316</v>
      </c>
    </row>
    <row r="231" spans="1:2" x14ac:dyDescent="0.2">
      <c r="A231" s="79" t="s">
        <v>33</v>
      </c>
      <c r="B231" s="79">
        <v>2518</v>
      </c>
    </row>
    <row r="232" spans="1:2" x14ac:dyDescent="0.2">
      <c r="A232" s="1141" t="s">
        <v>862</v>
      </c>
      <c r="B232" s="1210" t="s">
        <v>863</v>
      </c>
    </row>
    <row r="233" spans="1:2" x14ac:dyDescent="0.2">
      <c r="A233" s="79" t="s">
        <v>317</v>
      </c>
      <c r="B233" s="79">
        <v>206106</v>
      </c>
    </row>
    <row r="234" spans="1:2" x14ac:dyDescent="0.2">
      <c r="A234" s="80" t="s">
        <v>319</v>
      </c>
      <c r="B234" s="80" t="s">
        <v>320</v>
      </c>
    </row>
    <row r="235" spans="1:2" x14ac:dyDescent="0.2">
      <c r="A235" s="1144" t="s">
        <v>864</v>
      </c>
      <c r="B235" s="1169" t="s">
        <v>865</v>
      </c>
    </row>
    <row r="236" spans="1:2" x14ac:dyDescent="0.2">
      <c r="A236" s="1158" t="s">
        <v>34</v>
      </c>
      <c r="B236" s="94">
        <v>2457</v>
      </c>
    </row>
    <row r="237" spans="1:2" x14ac:dyDescent="0.2">
      <c r="A237" s="1158" t="s">
        <v>99</v>
      </c>
      <c r="B237" s="79">
        <v>2010</v>
      </c>
    </row>
    <row r="238" spans="1:2" x14ac:dyDescent="0.2">
      <c r="A238" s="79" t="s">
        <v>35</v>
      </c>
      <c r="B238" s="79">
        <v>2002</v>
      </c>
    </row>
    <row r="239" spans="1:2" x14ac:dyDescent="0.2">
      <c r="A239" s="79" t="s">
        <v>36</v>
      </c>
      <c r="B239" s="79">
        <v>3544</v>
      </c>
    </row>
    <row r="240" spans="1:2" x14ac:dyDescent="0.2">
      <c r="A240" s="79" t="s">
        <v>5</v>
      </c>
      <c r="B240" s="79">
        <v>1008</v>
      </c>
    </row>
    <row r="241" spans="1:2" x14ac:dyDescent="0.2">
      <c r="A241" s="79" t="s">
        <v>321</v>
      </c>
      <c r="B241" s="79" t="s">
        <v>322</v>
      </c>
    </row>
    <row r="242" spans="1:2" x14ac:dyDescent="0.2">
      <c r="A242" s="79" t="s">
        <v>100</v>
      </c>
      <c r="B242" s="79">
        <v>2006</v>
      </c>
    </row>
    <row r="243" spans="1:2" x14ac:dyDescent="0.2">
      <c r="A243" s="80" t="s">
        <v>323</v>
      </c>
      <c r="B243" s="80" t="s">
        <v>324</v>
      </c>
    </row>
    <row r="244" spans="1:2" x14ac:dyDescent="0.2">
      <c r="A244" s="79" t="s">
        <v>325</v>
      </c>
      <c r="B244" s="79">
        <v>206133</v>
      </c>
    </row>
    <row r="245" spans="1:2" x14ac:dyDescent="0.2">
      <c r="A245" s="1149" t="s">
        <v>867</v>
      </c>
      <c r="B245" s="1169" t="s">
        <v>868</v>
      </c>
    </row>
    <row r="246" spans="1:2" x14ac:dyDescent="0.2">
      <c r="A246" s="79" t="s">
        <v>327</v>
      </c>
      <c r="B246" s="79" t="s">
        <v>329</v>
      </c>
    </row>
    <row r="247" spans="1:2" x14ac:dyDescent="0.2">
      <c r="A247" s="79" t="s">
        <v>330</v>
      </c>
      <c r="B247" s="79">
        <v>206134</v>
      </c>
    </row>
    <row r="248" spans="1:2" x14ac:dyDescent="0.2">
      <c r="A248" s="79" t="s">
        <v>334</v>
      </c>
      <c r="B248" s="79" t="s">
        <v>335</v>
      </c>
    </row>
    <row r="249" spans="1:2" x14ac:dyDescent="0.2">
      <c r="A249" s="1199" t="s">
        <v>332</v>
      </c>
      <c r="B249" s="1200" t="s">
        <v>333</v>
      </c>
    </row>
    <row r="250" spans="1:2" x14ac:dyDescent="0.2">
      <c r="A250" s="79" t="s">
        <v>336</v>
      </c>
      <c r="B250" s="79" t="s">
        <v>337</v>
      </c>
    </row>
    <row r="251" spans="1:2" x14ac:dyDescent="0.2">
      <c r="A251" s="79" t="s">
        <v>338</v>
      </c>
      <c r="B251" s="79">
        <v>206109</v>
      </c>
    </row>
    <row r="252" spans="1:2" x14ac:dyDescent="0.2">
      <c r="A252" s="79" t="s">
        <v>37</v>
      </c>
      <c r="B252" s="79">
        <v>2434</v>
      </c>
    </row>
    <row r="253" spans="1:2" x14ac:dyDescent="0.2">
      <c r="A253" s="1161" t="s">
        <v>597</v>
      </c>
      <c r="B253" s="147">
        <v>6905</v>
      </c>
    </row>
    <row r="254" spans="1:2" x14ac:dyDescent="0.2">
      <c r="A254" s="1158" t="s">
        <v>42</v>
      </c>
      <c r="B254" s="94">
        <v>2009</v>
      </c>
    </row>
    <row r="255" spans="1:2" x14ac:dyDescent="0.2">
      <c r="A255" s="1158" t="s">
        <v>38</v>
      </c>
      <c r="B255" s="94">
        <v>2522</v>
      </c>
    </row>
    <row r="256" spans="1:2" x14ac:dyDescent="0.2">
      <c r="A256" s="79" t="s">
        <v>340</v>
      </c>
      <c r="B256" s="79">
        <v>206110</v>
      </c>
    </row>
    <row r="257" spans="1:2" x14ac:dyDescent="0.2">
      <c r="A257" s="79" t="s">
        <v>342</v>
      </c>
      <c r="B257" s="79">
        <v>206135</v>
      </c>
    </row>
    <row r="258" spans="1:2" x14ac:dyDescent="0.2">
      <c r="A258" s="1158" t="s">
        <v>69</v>
      </c>
      <c r="B258" s="94">
        <v>4181</v>
      </c>
    </row>
    <row r="259" spans="1:2" x14ac:dyDescent="0.2">
      <c r="A259" s="79" t="s">
        <v>344</v>
      </c>
      <c r="B259" s="79">
        <v>509195</v>
      </c>
    </row>
    <row r="260" spans="1:2" x14ac:dyDescent="0.2">
      <c r="A260" s="87" t="s">
        <v>346</v>
      </c>
      <c r="B260" s="88" t="s">
        <v>347</v>
      </c>
    </row>
    <row r="261" spans="1:2" x14ac:dyDescent="0.2">
      <c r="A261" s="1201" t="s">
        <v>348</v>
      </c>
      <c r="B261" s="1202" t="s">
        <v>349</v>
      </c>
    </row>
    <row r="262" spans="1:2" x14ac:dyDescent="0.2">
      <c r="A262" s="79" t="s">
        <v>350</v>
      </c>
      <c r="B262" s="79" t="s">
        <v>352</v>
      </c>
    </row>
    <row r="263" spans="1:2" x14ac:dyDescent="0.2">
      <c r="A263" s="79" t="s">
        <v>353</v>
      </c>
      <c r="B263" s="79">
        <v>509199</v>
      </c>
    </row>
    <row r="264" spans="1:2" x14ac:dyDescent="0.2">
      <c r="A264" s="79" t="s">
        <v>355</v>
      </c>
      <c r="B264" s="79">
        <v>509197</v>
      </c>
    </row>
    <row r="265" spans="1:2" x14ac:dyDescent="0.2">
      <c r="A265" s="1151" t="s">
        <v>870</v>
      </c>
      <c r="B265" s="1211">
        <v>479383</v>
      </c>
    </row>
    <row r="266" spans="1:2" x14ac:dyDescent="0.2">
      <c r="A266" s="1170" t="s">
        <v>360</v>
      </c>
      <c r="B266" s="1168" t="s">
        <v>361</v>
      </c>
    </row>
    <row r="267" spans="1:2" x14ac:dyDescent="0.2">
      <c r="A267" s="1158" t="s">
        <v>70</v>
      </c>
      <c r="B267" s="94">
        <v>4182</v>
      </c>
    </row>
    <row r="268" spans="1:2" x14ac:dyDescent="0.2">
      <c r="A268" s="79" t="s">
        <v>357</v>
      </c>
      <c r="B268" s="79" t="s">
        <v>359</v>
      </c>
    </row>
    <row r="269" spans="1:2" x14ac:dyDescent="0.2">
      <c r="A269" s="79" t="s">
        <v>6</v>
      </c>
      <c r="B269" s="79">
        <v>1005</v>
      </c>
    </row>
    <row r="270" spans="1:2" x14ac:dyDescent="0.2">
      <c r="A270" s="489" t="s">
        <v>871</v>
      </c>
      <c r="B270" s="1179" t="s">
        <v>872</v>
      </c>
    </row>
    <row r="271" spans="1:2" x14ac:dyDescent="0.2">
      <c r="A271" s="1158" t="s">
        <v>39</v>
      </c>
      <c r="B271" s="94">
        <v>2436</v>
      </c>
    </row>
    <row r="272" spans="1:2" x14ac:dyDescent="0.2">
      <c r="A272" s="79" t="s">
        <v>362</v>
      </c>
      <c r="B272" s="79">
        <v>206117</v>
      </c>
    </row>
    <row r="273" spans="1:2" x14ac:dyDescent="0.2">
      <c r="A273" s="79" t="s">
        <v>40</v>
      </c>
      <c r="B273" s="79">
        <v>2452</v>
      </c>
    </row>
    <row r="274" spans="1:2" x14ac:dyDescent="0.2">
      <c r="A274" s="1158" t="s">
        <v>71</v>
      </c>
      <c r="B274" s="94">
        <v>4001</v>
      </c>
    </row>
    <row r="275" spans="1:2" x14ac:dyDescent="0.2">
      <c r="A275" s="79" t="s">
        <v>364</v>
      </c>
      <c r="B275" s="79">
        <v>206141</v>
      </c>
    </row>
    <row r="276" spans="1:2" x14ac:dyDescent="0.2">
      <c r="A276" s="1158" t="s">
        <v>41</v>
      </c>
      <c r="B276" s="94">
        <v>2627</v>
      </c>
    </row>
    <row r="277" spans="1:2" x14ac:dyDescent="0.2">
      <c r="A277" s="1158" t="s">
        <v>112</v>
      </c>
      <c r="B277" s="94">
        <v>5406</v>
      </c>
    </row>
    <row r="278" spans="1:2" x14ac:dyDescent="0.2">
      <c r="A278" s="1158" t="s">
        <v>113</v>
      </c>
      <c r="B278" s="94">
        <v>5407</v>
      </c>
    </row>
    <row r="279" spans="1:2" x14ac:dyDescent="0.2">
      <c r="A279" s="79" t="s">
        <v>366</v>
      </c>
      <c r="B279" s="79" t="s">
        <v>368</v>
      </c>
    </row>
    <row r="280" spans="1:2" x14ac:dyDescent="0.2">
      <c r="A280" s="79" t="s">
        <v>369</v>
      </c>
      <c r="B280" s="79">
        <v>258404</v>
      </c>
    </row>
    <row r="281" spans="1:2" x14ac:dyDescent="0.2">
      <c r="A281" s="1158" t="s">
        <v>101</v>
      </c>
      <c r="B281" s="79">
        <v>2473</v>
      </c>
    </row>
    <row r="282" spans="1:2" x14ac:dyDescent="0.2">
      <c r="A282" s="1158" t="s">
        <v>44</v>
      </c>
      <c r="B282" s="94">
        <v>2471</v>
      </c>
    </row>
    <row r="283" spans="1:2" x14ac:dyDescent="0.2">
      <c r="A283" s="79" t="s">
        <v>371</v>
      </c>
      <c r="B283" s="79">
        <v>258405</v>
      </c>
    </row>
    <row r="284" spans="1:2" x14ac:dyDescent="0.2">
      <c r="A284" s="79" t="s">
        <v>373</v>
      </c>
      <c r="B284" s="79">
        <v>258406</v>
      </c>
    </row>
    <row r="285" spans="1:2" x14ac:dyDescent="0.2">
      <c r="A285" s="79" t="s">
        <v>43</v>
      </c>
      <c r="B285" s="79">
        <v>2420</v>
      </c>
    </row>
    <row r="286" spans="1:2" x14ac:dyDescent="0.2">
      <c r="A286" s="79" t="s">
        <v>375</v>
      </c>
      <c r="B286" s="79">
        <v>206160</v>
      </c>
    </row>
    <row r="287" spans="1:2" x14ac:dyDescent="0.2">
      <c r="A287" s="79" t="s">
        <v>45</v>
      </c>
      <c r="B287" s="79">
        <v>2003</v>
      </c>
    </row>
    <row r="288" spans="1:2" x14ac:dyDescent="0.2">
      <c r="A288" s="1158" t="s">
        <v>46</v>
      </c>
      <c r="B288" s="94">
        <v>2423</v>
      </c>
    </row>
    <row r="289" spans="1:2" x14ac:dyDescent="0.2">
      <c r="A289" s="1158" t="s">
        <v>47</v>
      </c>
      <c r="B289" s="94">
        <v>2424</v>
      </c>
    </row>
    <row r="290" spans="1:2" x14ac:dyDescent="0.2">
      <c r="A290" s="79" t="s">
        <v>377</v>
      </c>
      <c r="B290" s="79" t="s">
        <v>379</v>
      </c>
    </row>
    <row r="291" spans="1:2" x14ac:dyDescent="0.2">
      <c r="A291" s="726" t="s">
        <v>873</v>
      </c>
      <c r="B291" s="1179" t="s">
        <v>874</v>
      </c>
    </row>
    <row r="292" spans="1:2" x14ac:dyDescent="0.2">
      <c r="A292" s="79" t="s">
        <v>382</v>
      </c>
      <c r="B292" s="79" t="s">
        <v>384</v>
      </c>
    </row>
    <row r="293" spans="1:2" x14ac:dyDescent="0.2">
      <c r="A293" s="79" t="s">
        <v>385</v>
      </c>
      <c r="B293" s="79">
        <v>206146</v>
      </c>
    </row>
    <row r="294" spans="1:2" x14ac:dyDescent="0.2">
      <c r="A294" s="1158" t="s">
        <v>48</v>
      </c>
      <c r="B294" s="94">
        <v>2439</v>
      </c>
    </row>
    <row r="295" spans="1:2" x14ac:dyDescent="0.2">
      <c r="A295" s="1158" t="s">
        <v>49</v>
      </c>
      <c r="B295" s="94">
        <v>2440</v>
      </c>
    </row>
    <row r="296" spans="1:2" x14ac:dyDescent="0.2">
      <c r="A296" s="80" t="s">
        <v>387</v>
      </c>
      <c r="B296" s="80" t="s">
        <v>388</v>
      </c>
    </row>
    <row r="297" spans="1:2" x14ac:dyDescent="0.2">
      <c r="A297" s="1158" t="s">
        <v>102</v>
      </c>
      <c r="B297" s="79">
        <v>2462</v>
      </c>
    </row>
    <row r="298" spans="1:2" x14ac:dyDescent="0.2">
      <c r="A298" s="1158" t="s">
        <v>50</v>
      </c>
      <c r="B298" s="94">
        <v>2463</v>
      </c>
    </row>
    <row r="299" spans="1:2" x14ac:dyDescent="0.2">
      <c r="A299" s="79" t="s">
        <v>51</v>
      </c>
      <c r="B299" s="79">
        <v>2505</v>
      </c>
    </row>
    <row r="300" spans="1:2" x14ac:dyDescent="0.2">
      <c r="A300" s="79" t="s">
        <v>52</v>
      </c>
      <c r="B300" s="79">
        <v>2000</v>
      </c>
    </row>
    <row r="301" spans="1:2" x14ac:dyDescent="0.2">
      <c r="A301" s="1158" t="s">
        <v>53</v>
      </c>
      <c r="B301" s="94">
        <v>2458</v>
      </c>
    </row>
    <row r="302" spans="1:2" x14ac:dyDescent="0.2">
      <c r="A302" s="79" t="s">
        <v>392</v>
      </c>
      <c r="B302" s="79" t="s">
        <v>394</v>
      </c>
    </row>
    <row r="303" spans="1:2" x14ac:dyDescent="0.2">
      <c r="A303" s="79" t="s">
        <v>54</v>
      </c>
      <c r="B303" s="79">
        <v>2001</v>
      </c>
    </row>
    <row r="304" spans="1:2" x14ac:dyDescent="0.2">
      <c r="A304" s="80" t="s">
        <v>395</v>
      </c>
      <c r="B304" s="80" t="s">
        <v>396</v>
      </c>
    </row>
    <row r="305" spans="1:2" x14ac:dyDescent="0.2">
      <c r="A305" s="79" t="s">
        <v>55</v>
      </c>
      <c r="B305" s="79">
        <v>2429</v>
      </c>
    </row>
    <row r="306" spans="1:2" x14ac:dyDescent="0.2">
      <c r="A306" s="79" t="s">
        <v>397</v>
      </c>
      <c r="B306" s="79">
        <v>113044</v>
      </c>
    </row>
    <row r="307" spans="1:2" x14ac:dyDescent="0.2">
      <c r="A307" s="79" t="s">
        <v>399</v>
      </c>
      <c r="B307" s="79" t="s">
        <v>401</v>
      </c>
    </row>
    <row r="308" spans="1:2" x14ac:dyDescent="0.2">
      <c r="A308" s="1158" t="s">
        <v>72</v>
      </c>
      <c r="B308" s="94">
        <v>4607</v>
      </c>
    </row>
    <row r="309" spans="1:2" x14ac:dyDescent="0.2">
      <c r="A309" s="665" t="s">
        <v>881</v>
      </c>
      <c r="B309" s="1169" t="s">
        <v>882</v>
      </c>
    </row>
    <row r="310" spans="1:2" x14ac:dyDescent="0.2">
      <c r="A310" s="726" t="s">
        <v>883</v>
      </c>
      <c r="B310" s="1154" t="s">
        <v>884</v>
      </c>
    </row>
    <row r="311" spans="1:2" x14ac:dyDescent="0.2">
      <c r="A311" s="79" t="s">
        <v>56</v>
      </c>
      <c r="B311" s="79">
        <v>2444</v>
      </c>
    </row>
    <row r="312" spans="1:2" x14ac:dyDescent="0.2">
      <c r="A312" s="1158" t="s">
        <v>57</v>
      </c>
      <c r="B312" s="94">
        <v>5209</v>
      </c>
    </row>
    <row r="313" spans="1:2" x14ac:dyDescent="0.2">
      <c r="A313" s="79" t="s">
        <v>402</v>
      </c>
      <c r="B313" s="79" t="s">
        <v>404</v>
      </c>
    </row>
    <row r="314" spans="1:2" x14ac:dyDescent="0.2">
      <c r="A314" s="79" t="s">
        <v>405</v>
      </c>
      <c r="B314" s="79" t="s">
        <v>407</v>
      </c>
    </row>
    <row r="315" spans="1:2" x14ac:dyDescent="0.2">
      <c r="A315" s="1158" t="s">
        <v>58</v>
      </c>
      <c r="B315" s="94">
        <v>2469</v>
      </c>
    </row>
    <row r="316" spans="1:2" x14ac:dyDescent="0.2">
      <c r="A316" s="79" t="s">
        <v>408</v>
      </c>
      <c r="B316" s="79" t="s">
        <v>410</v>
      </c>
    </row>
    <row r="317" spans="1:2" x14ac:dyDescent="0.2">
      <c r="A317" s="99" t="s">
        <v>411</v>
      </c>
      <c r="B317" s="99" t="s">
        <v>412</v>
      </c>
    </row>
    <row r="318" spans="1:2" x14ac:dyDescent="0.2">
      <c r="A318" s="1158" t="s">
        <v>59</v>
      </c>
      <c r="B318" s="94">
        <v>2466</v>
      </c>
    </row>
    <row r="319" spans="1:2" x14ac:dyDescent="0.2">
      <c r="A319" s="79" t="s">
        <v>60</v>
      </c>
      <c r="B319" s="79">
        <v>3543</v>
      </c>
    </row>
    <row r="320" spans="1:2" x14ac:dyDescent="0.2">
      <c r="A320" s="79" t="s">
        <v>413</v>
      </c>
      <c r="B320" s="79">
        <v>206152</v>
      </c>
    </row>
    <row r="321" spans="1:2" x14ac:dyDescent="0.2">
      <c r="A321" s="79" t="s">
        <v>415</v>
      </c>
      <c r="B321" s="79">
        <v>206153</v>
      </c>
    </row>
    <row r="322" spans="1:2" x14ac:dyDescent="0.2">
      <c r="A322" s="1158" t="s">
        <v>62</v>
      </c>
      <c r="B322" s="94">
        <v>3531</v>
      </c>
    </row>
    <row r="323" spans="1:2" x14ac:dyDescent="0.2">
      <c r="A323" s="79" t="s">
        <v>63</v>
      </c>
      <c r="B323" s="79">
        <v>3526</v>
      </c>
    </row>
    <row r="324" spans="1:2" x14ac:dyDescent="0.2">
      <c r="A324" s="1158" t="s">
        <v>104</v>
      </c>
      <c r="B324" s="94">
        <v>3535</v>
      </c>
    </row>
    <row r="325" spans="1:2" x14ac:dyDescent="0.2">
      <c r="A325" s="1203" t="s">
        <v>64</v>
      </c>
      <c r="B325" s="94">
        <v>2008</v>
      </c>
    </row>
    <row r="326" spans="1:2" x14ac:dyDescent="0.2">
      <c r="A326" s="1158" t="s">
        <v>105</v>
      </c>
      <c r="B326" s="94">
        <v>3542</v>
      </c>
    </row>
    <row r="327" spans="1:2" x14ac:dyDescent="0.2">
      <c r="A327" s="90" t="s">
        <v>417</v>
      </c>
      <c r="B327" s="79">
        <v>206154</v>
      </c>
    </row>
    <row r="328" spans="1:2" x14ac:dyDescent="0.2">
      <c r="A328" s="1158" t="s">
        <v>106</v>
      </c>
      <c r="B328" s="79">
        <v>3528</v>
      </c>
    </row>
    <row r="329" spans="1:2" x14ac:dyDescent="0.2">
      <c r="A329" s="80" t="s">
        <v>419</v>
      </c>
      <c r="B329" s="80" t="s">
        <v>420</v>
      </c>
    </row>
    <row r="330" spans="1:2" x14ac:dyDescent="0.2">
      <c r="A330" s="1158" t="s">
        <v>107</v>
      </c>
      <c r="B330" s="94">
        <v>3534</v>
      </c>
    </row>
    <row r="331" spans="1:2" x14ac:dyDescent="0.2">
      <c r="A331" s="1158" t="s">
        <v>108</v>
      </c>
      <c r="B331" s="143">
        <v>3532</v>
      </c>
    </row>
    <row r="332" spans="1:2" x14ac:dyDescent="0.2">
      <c r="A332" s="107" t="s">
        <v>7</v>
      </c>
      <c r="B332" s="79">
        <v>1010</v>
      </c>
    </row>
    <row r="333" spans="1:2" x14ac:dyDescent="0.2">
      <c r="A333" s="107" t="s">
        <v>421</v>
      </c>
      <c r="B333" s="79" t="s">
        <v>423</v>
      </c>
    </row>
    <row r="334" spans="1:2" x14ac:dyDescent="0.2">
      <c r="A334" s="1158" t="s">
        <v>114</v>
      </c>
      <c r="B334" s="94">
        <v>4177</v>
      </c>
    </row>
    <row r="335" spans="1:2" x14ac:dyDescent="0.2">
      <c r="A335" s="79" t="s">
        <v>424</v>
      </c>
      <c r="B335" s="79" t="s">
        <v>426</v>
      </c>
    </row>
    <row r="336" spans="1:2" x14ac:dyDescent="0.2">
      <c r="A336" s="79" t="s">
        <v>427</v>
      </c>
      <c r="B336" s="79">
        <v>206103</v>
      </c>
    </row>
    <row r="337" spans="1:2" x14ac:dyDescent="0.2">
      <c r="A337" s="79" t="s">
        <v>428</v>
      </c>
      <c r="B337" s="79" t="s">
        <v>430</v>
      </c>
    </row>
    <row r="338" spans="1:2" x14ac:dyDescent="0.2">
      <c r="A338" s="79" t="s">
        <v>431</v>
      </c>
      <c r="B338" s="79" t="s">
        <v>433</v>
      </c>
    </row>
    <row r="339" spans="1:2" x14ac:dyDescent="0.2">
      <c r="A339" s="79" t="s">
        <v>434</v>
      </c>
      <c r="B339" s="79">
        <v>258420</v>
      </c>
    </row>
    <row r="340" spans="1:2" x14ac:dyDescent="0.2">
      <c r="A340" s="79" t="s">
        <v>436</v>
      </c>
      <c r="B340" s="79">
        <v>258424</v>
      </c>
    </row>
    <row r="341" spans="1:2" x14ac:dyDescent="0.2">
      <c r="A341" s="79" t="s">
        <v>438</v>
      </c>
      <c r="B341" s="79" t="s">
        <v>439</v>
      </c>
    </row>
    <row r="342" spans="1:2" x14ac:dyDescent="0.2">
      <c r="A342" s="142" t="s">
        <v>65</v>
      </c>
      <c r="B342" s="79">
        <v>3546</v>
      </c>
    </row>
    <row r="343" spans="1:2" x14ac:dyDescent="0.2">
      <c r="A343" s="140" t="s">
        <v>8</v>
      </c>
      <c r="B343" s="79">
        <v>1009</v>
      </c>
    </row>
    <row r="344" spans="1:2" x14ac:dyDescent="0.2">
      <c r="A344" s="142" t="s">
        <v>66</v>
      </c>
      <c r="B344" s="79">
        <v>3530</v>
      </c>
    </row>
    <row r="345" spans="1:2" x14ac:dyDescent="0.2">
      <c r="A345" s="1158" t="s">
        <v>74</v>
      </c>
      <c r="B345" s="94">
        <v>5412</v>
      </c>
    </row>
    <row r="346" spans="1:2" ht="15" x14ac:dyDescent="0.2">
      <c r="A346" s="146" t="s">
        <v>445</v>
      </c>
      <c r="B346" s="146" t="s">
        <v>446</v>
      </c>
    </row>
    <row r="347" spans="1:2" x14ac:dyDescent="0.2">
      <c r="A347" s="140" t="s">
        <v>440</v>
      </c>
      <c r="B347" s="144" t="s">
        <v>442</v>
      </c>
    </row>
    <row r="348" spans="1:2" x14ac:dyDescent="0.2">
      <c r="A348" s="79" t="s">
        <v>9</v>
      </c>
      <c r="B348" s="140">
        <v>1015</v>
      </c>
    </row>
    <row r="349" spans="1:2" x14ac:dyDescent="0.2">
      <c r="A349" s="141" t="s">
        <v>443</v>
      </c>
      <c r="B349" s="145" t="s">
        <v>444</v>
      </c>
    </row>
    <row r="350" spans="1:2" x14ac:dyDescent="0.2">
      <c r="A350" s="142" t="s">
        <v>447</v>
      </c>
      <c r="B350" s="79">
        <v>509204</v>
      </c>
    </row>
    <row r="351" spans="1:2" x14ac:dyDescent="0.2">
      <c r="A351" s="1206" t="s">
        <v>67</v>
      </c>
      <c r="B351" s="143">
        <v>2459</v>
      </c>
    </row>
    <row r="352" spans="1:2" x14ac:dyDescent="0.2">
      <c r="A352" s="79" t="s">
        <v>96</v>
      </c>
      <c r="B352" s="79">
        <v>2007</v>
      </c>
    </row>
  </sheetData>
  <sheetProtection password="EF5C"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351"/>
  <sheetViews>
    <sheetView workbookViewId="0">
      <pane xSplit="2" ySplit="6" topLeftCell="C89" activePane="bottomRight" state="frozen"/>
      <selection activeCell="C118" sqref="C118"/>
      <selection pane="topRight" activeCell="C118" sqref="C118"/>
      <selection pane="bottomLeft" activeCell="C118" sqref="C118"/>
      <selection pane="bottomRight" sqref="A1:J1048576"/>
    </sheetView>
  </sheetViews>
  <sheetFormatPr defaultRowHeight="12.75" x14ac:dyDescent="0.2"/>
  <cols>
    <col min="1" max="1" width="52.42578125" style="22" hidden="1" customWidth="1"/>
    <col min="2" max="2" width="17.140625" style="22" hidden="1" customWidth="1"/>
    <col min="3" max="10" width="0" style="22" hidden="1" customWidth="1"/>
    <col min="11" max="16384" width="9.140625" style="22"/>
  </cols>
  <sheetData>
    <row r="1" spans="1:3" x14ac:dyDescent="0.2">
      <c r="A1" s="24" t="s">
        <v>1038</v>
      </c>
      <c r="B1" s="1000"/>
      <c r="C1" s="1010"/>
    </row>
    <row r="2" spans="1:3" x14ac:dyDescent="0.2">
      <c r="A2" s="24" t="s">
        <v>77</v>
      </c>
      <c r="B2" s="1000"/>
      <c r="C2" s="1010"/>
    </row>
    <row r="3" spans="1:3" x14ac:dyDescent="0.2">
      <c r="A3" s="24" t="s">
        <v>78</v>
      </c>
      <c r="B3" s="1000"/>
      <c r="C3" s="1010"/>
    </row>
    <row r="4" spans="1:3" x14ac:dyDescent="0.2">
      <c r="A4" s="24" t="s">
        <v>79</v>
      </c>
      <c r="B4" s="1000"/>
      <c r="C4" s="1010"/>
    </row>
    <row r="5" spans="1:3" x14ac:dyDescent="0.2">
      <c r="A5" s="24" t="s">
        <v>80</v>
      </c>
      <c r="B5" s="1000"/>
      <c r="C5" s="1010"/>
    </row>
    <row r="6" spans="1:3" ht="25.5" x14ac:dyDescent="0.2">
      <c r="A6" s="1022" t="s">
        <v>118</v>
      </c>
      <c r="B6" s="1024" t="s">
        <v>81</v>
      </c>
      <c r="C6" s="1049" t="s">
        <v>1093</v>
      </c>
    </row>
    <row r="7" spans="1:3" x14ac:dyDescent="0.2">
      <c r="A7" s="25" t="s">
        <v>10</v>
      </c>
      <c r="B7" s="26">
        <v>2012</v>
      </c>
      <c r="C7" s="23">
        <v>0</v>
      </c>
    </row>
    <row r="8" spans="1:3" x14ac:dyDescent="0.2">
      <c r="A8" s="25" t="s">
        <v>11</v>
      </c>
      <c r="B8" s="26">
        <v>2443</v>
      </c>
      <c r="C8" s="23">
        <v>0</v>
      </c>
    </row>
    <row r="9" spans="1:3" x14ac:dyDescent="0.2">
      <c r="A9" s="25" t="s">
        <v>94</v>
      </c>
      <c r="B9" s="26">
        <v>2442</v>
      </c>
      <c r="C9" s="23">
        <v>0</v>
      </c>
    </row>
    <row r="10" spans="1:3" x14ac:dyDescent="0.2">
      <c r="A10" s="25" t="s">
        <v>13</v>
      </c>
      <c r="B10" s="26">
        <v>2629</v>
      </c>
      <c r="C10" s="23">
        <v>0</v>
      </c>
    </row>
    <row r="11" spans="1:3" x14ac:dyDescent="0.2">
      <c r="A11" s="25" t="s">
        <v>14</v>
      </c>
      <c r="B11" s="26">
        <v>2509</v>
      </c>
      <c r="C11" s="23">
        <v>0</v>
      </c>
    </row>
    <row r="12" spans="1:3" x14ac:dyDescent="0.2">
      <c r="A12" s="25" t="s">
        <v>15</v>
      </c>
      <c r="B12" s="26">
        <v>2005</v>
      </c>
      <c r="C12" s="23">
        <v>0</v>
      </c>
    </row>
    <row r="13" spans="1:3" x14ac:dyDescent="0.2">
      <c r="A13" s="25" t="s">
        <v>16</v>
      </c>
      <c r="B13" s="26">
        <v>2464</v>
      </c>
      <c r="C13" s="23">
        <v>0</v>
      </c>
    </row>
    <row r="14" spans="1:3" x14ac:dyDescent="0.2">
      <c r="A14" s="25" t="s">
        <v>17</v>
      </c>
      <c r="B14" s="26">
        <v>2004</v>
      </c>
      <c r="C14" s="23">
        <v>0</v>
      </c>
    </row>
    <row r="15" spans="1:3" x14ac:dyDescent="0.2">
      <c r="A15" s="25" t="s">
        <v>18</v>
      </c>
      <c r="B15" s="26">
        <v>2405</v>
      </c>
      <c r="C15" s="23">
        <v>0</v>
      </c>
    </row>
    <row r="16" spans="1:3" x14ac:dyDescent="0.2">
      <c r="A16" s="25" t="s">
        <v>95</v>
      </c>
      <c r="B16" s="26">
        <v>2011</v>
      </c>
      <c r="C16" s="23">
        <v>0</v>
      </c>
    </row>
    <row r="17" spans="1:3" x14ac:dyDescent="0.2">
      <c r="A17" s="25" t="s">
        <v>20</v>
      </c>
      <c r="B17" s="26">
        <v>5201</v>
      </c>
      <c r="C17" s="23">
        <v>0</v>
      </c>
    </row>
    <row r="18" spans="1:3" x14ac:dyDescent="0.2">
      <c r="A18" s="25" t="s">
        <v>96</v>
      </c>
      <c r="B18" s="26">
        <v>2007</v>
      </c>
      <c r="C18" s="23">
        <v>0</v>
      </c>
    </row>
    <row r="19" spans="1:3" x14ac:dyDescent="0.2">
      <c r="A19" s="25" t="s">
        <v>21</v>
      </c>
      <c r="B19" s="26">
        <v>2433</v>
      </c>
      <c r="C19" s="23">
        <v>0</v>
      </c>
    </row>
    <row r="20" spans="1:3" x14ac:dyDescent="0.2">
      <c r="A20" s="25" t="s">
        <v>22</v>
      </c>
      <c r="B20" s="26">
        <v>2432</v>
      </c>
      <c r="C20" s="23">
        <v>0</v>
      </c>
    </row>
    <row r="21" spans="1:3" x14ac:dyDescent="0.2">
      <c r="A21" s="25" t="s">
        <v>199</v>
      </c>
      <c r="B21" s="26">
        <v>2447</v>
      </c>
      <c r="C21" s="23">
        <v>0</v>
      </c>
    </row>
    <row r="22" spans="1:3" x14ac:dyDescent="0.2">
      <c r="A22" s="25" t="s">
        <v>23</v>
      </c>
      <c r="B22" s="26">
        <v>2512</v>
      </c>
      <c r="C22" s="23">
        <v>0</v>
      </c>
    </row>
    <row r="23" spans="1:3" x14ac:dyDescent="0.2">
      <c r="A23" s="25" t="s">
        <v>24</v>
      </c>
      <c r="B23" s="26">
        <v>2456</v>
      </c>
      <c r="C23" s="23">
        <v>0</v>
      </c>
    </row>
    <row r="24" spans="1:3" x14ac:dyDescent="0.2">
      <c r="A24" s="25" t="s">
        <v>25</v>
      </c>
      <c r="B24" s="26">
        <v>2449</v>
      </c>
      <c r="C24" s="23">
        <v>0</v>
      </c>
    </row>
    <row r="25" spans="1:3" x14ac:dyDescent="0.2">
      <c r="A25" s="25" t="s">
        <v>26</v>
      </c>
      <c r="B25" s="26">
        <v>2448</v>
      </c>
      <c r="C25" s="23">
        <v>0</v>
      </c>
    </row>
    <row r="26" spans="1:3" x14ac:dyDescent="0.2">
      <c r="A26" s="25" t="s">
        <v>126</v>
      </c>
      <c r="B26" s="26">
        <v>2467</v>
      </c>
      <c r="C26" s="23">
        <v>0</v>
      </c>
    </row>
    <row r="27" spans="1:3" x14ac:dyDescent="0.2">
      <c r="A27" s="25" t="s">
        <v>28</v>
      </c>
      <c r="B27" s="26">
        <v>2455</v>
      </c>
      <c r="C27" s="23">
        <v>0</v>
      </c>
    </row>
    <row r="28" spans="1:3" x14ac:dyDescent="0.2">
      <c r="A28" s="25" t="s">
        <v>29</v>
      </c>
      <c r="B28" s="26">
        <v>5203</v>
      </c>
      <c r="C28" s="23">
        <v>0</v>
      </c>
    </row>
    <row r="29" spans="1:3" x14ac:dyDescent="0.2">
      <c r="A29" s="25" t="s">
        <v>30</v>
      </c>
      <c r="B29" s="26">
        <v>2451</v>
      </c>
      <c r="C29" s="23">
        <v>0</v>
      </c>
    </row>
    <row r="30" spans="1:3" x14ac:dyDescent="0.2">
      <c r="A30" s="25" t="s">
        <v>31</v>
      </c>
      <c r="B30" s="26">
        <v>2409</v>
      </c>
      <c r="C30" s="23">
        <v>0</v>
      </c>
    </row>
    <row r="31" spans="1:3" x14ac:dyDescent="0.2">
      <c r="A31" s="25" t="s">
        <v>98</v>
      </c>
      <c r="B31" s="26">
        <v>3158</v>
      </c>
      <c r="C31" s="23">
        <v>0</v>
      </c>
    </row>
    <row r="32" spans="1:3" x14ac:dyDescent="0.2">
      <c r="A32" s="25" t="s">
        <v>32</v>
      </c>
      <c r="B32" s="26">
        <v>2619</v>
      </c>
      <c r="C32" s="23">
        <v>0</v>
      </c>
    </row>
    <row r="33" spans="1:3" x14ac:dyDescent="0.2">
      <c r="A33" s="25" t="s">
        <v>33</v>
      </c>
      <c r="B33" s="26">
        <v>2518</v>
      </c>
      <c r="C33" s="23">
        <v>0</v>
      </c>
    </row>
    <row r="34" spans="1:3" x14ac:dyDescent="0.2">
      <c r="A34" s="25" t="s">
        <v>34</v>
      </c>
      <c r="B34" s="26">
        <v>2457</v>
      </c>
      <c r="C34" s="23">
        <v>0</v>
      </c>
    </row>
    <row r="35" spans="1:3" x14ac:dyDescent="0.2">
      <c r="A35" s="25" t="s">
        <v>99</v>
      </c>
      <c r="B35" s="26">
        <v>2010</v>
      </c>
      <c r="C35" s="23">
        <v>0</v>
      </c>
    </row>
    <row r="36" spans="1:3" x14ac:dyDescent="0.2">
      <c r="A36" s="25" t="s">
        <v>35</v>
      </c>
      <c r="B36" s="26">
        <v>2002</v>
      </c>
      <c r="C36" s="23">
        <v>0</v>
      </c>
    </row>
    <row r="37" spans="1:3" x14ac:dyDescent="0.2">
      <c r="A37" s="25" t="s">
        <v>36</v>
      </c>
      <c r="B37" s="26">
        <v>3544</v>
      </c>
      <c r="C37" s="23">
        <v>0</v>
      </c>
    </row>
    <row r="38" spans="1:3" x14ac:dyDescent="0.2">
      <c r="A38" s="25" t="s">
        <v>100</v>
      </c>
      <c r="B38" s="26">
        <v>2006</v>
      </c>
      <c r="C38" s="23">
        <v>0</v>
      </c>
    </row>
    <row r="39" spans="1:3" x14ac:dyDescent="0.2">
      <c r="A39" s="25" t="s">
        <v>37</v>
      </c>
      <c r="B39" s="26">
        <v>2434</v>
      </c>
      <c r="C39" s="23">
        <v>0</v>
      </c>
    </row>
    <row r="40" spans="1:3" x14ac:dyDescent="0.2">
      <c r="A40" s="25" t="s">
        <v>38</v>
      </c>
      <c r="B40" s="26">
        <v>2522</v>
      </c>
      <c r="C40" s="23">
        <v>0</v>
      </c>
    </row>
    <row r="41" spans="1:3" x14ac:dyDescent="0.2">
      <c r="A41" s="25" t="s">
        <v>39</v>
      </c>
      <c r="B41" s="26">
        <v>2436</v>
      </c>
      <c r="C41" s="23">
        <v>0</v>
      </c>
    </row>
    <row r="42" spans="1:3" x14ac:dyDescent="0.2">
      <c r="A42" s="25" t="s">
        <v>40</v>
      </c>
      <c r="B42" s="26">
        <v>2452</v>
      </c>
      <c r="C42" s="23">
        <v>0</v>
      </c>
    </row>
    <row r="43" spans="1:3" x14ac:dyDescent="0.2">
      <c r="A43" s="25" t="s">
        <v>41</v>
      </c>
      <c r="B43" s="26">
        <v>2627</v>
      </c>
      <c r="C43" s="23">
        <v>0</v>
      </c>
    </row>
    <row r="44" spans="1:3" x14ac:dyDescent="0.2">
      <c r="A44" s="25" t="s">
        <v>42</v>
      </c>
      <c r="B44" s="26">
        <v>2009</v>
      </c>
      <c r="C44" s="23">
        <v>0</v>
      </c>
    </row>
    <row r="45" spans="1:3" x14ac:dyDescent="0.2">
      <c r="A45" s="25" t="s">
        <v>101</v>
      </c>
      <c r="B45" s="26">
        <v>2473</v>
      </c>
      <c r="C45" s="23">
        <v>0</v>
      </c>
    </row>
    <row r="46" spans="1:3" x14ac:dyDescent="0.2">
      <c r="A46" s="25" t="s">
        <v>44</v>
      </c>
      <c r="B46" s="26">
        <v>2471</v>
      </c>
      <c r="C46" s="23">
        <v>0</v>
      </c>
    </row>
    <row r="47" spans="1:3" x14ac:dyDescent="0.2">
      <c r="A47" s="25" t="s">
        <v>43</v>
      </c>
      <c r="B47" s="26">
        <v>2420</v>
      </c>
      <c r="C47" s="23">
        <v>0</v>
      </c>
    </row>
    <row r="48" spans="1:3" x14ac:dyDescent="0.2">
      <c r="A48" s="25" t="s">
        <v>45</v>
      </c>
      <c r="B48" s="26">
        <v>2003</v>
      </c>
      <c r="C48" s="23">
        <v>0</v>
      </c>
    </row>
    <row r="49" spans="1:3" x14ac:dyDescent="0.2">
      <c r="A49" s="25" t="s">
        <v>46</v>
      </c>
      <c r="B49" s="26">
        <v>2423</v>
      </c>
      <c r="C49" s="23">
        <v>0</v>
      </c>
    </row>
    <row r="50" spans="1:3" x14ac:dyDescent="0.2">
      <c r="A50" s="25" t="s">
        <v>47</v>
      </c>
      <c r="B50" s="26">
        <v>2424</v>
      </c>
      <c r="C50" s="23">
        <v>0</v>
      </c>
    </row>
    <row r="51" spans="1:3" x14ac:dyDescent="0.2">
      <c r="A51" s="25" t="s">
        <v>48</v>
      </c>
      <c r="B51" s="26">
        <v>2439</v>
      </c>
      <c r="C51" s="23">
        <v>0</v>
      </c>
    </row>
    <row r="52" spans="1:3" x14ac:dyDescent="0.2">
      <c r="A52" s="25" t="s">
        <v>49</v>
      </c>
      <c r="B52" s="26">
        <v>2440</v>
      </c>
      <c r="C52" s="23">
        <v>0</v>
      </c>
    </row>
    <row r="53" spans="1:3" x14ac:dyDescent="0.2">
      <c r="A53" s="25" t="s">
        <v>102</v>
      </c>
      <c r="B53" s="26">
        <v>2462</v>
      </c>
      <c r="C53" s="23">
        <v>0</v>
      </c>
    </row>
    <row r="54" spans="1:3" x14ac:dyDescent="0.2">
      <c r="A54" s="25" t="s">
        <v>50</v>
      </c>
      <c r="B54" s="26">
        <v>2463</v>
      </c>
      <c r="C54" s="23">
        <v>0</v>
      </c>
    </row>
    <row r="55" spans="1:3" x14ac:dyDescent="0.2">
      <c r="A55" s="25" t="s">
        <v>51</v>
      </c>
      <c r="B55" s="26">
        <v>2505</v>
      </c>
      <c r="C55" s="23">
        <v>0</v>
      </c>
    </row>
    <row r="56" spans="1:3" x14ac:dyDescent="0.2">
      <c r="A56" s="25" t="s">
        <v>52</v>
      </c>
      <c r="B56" s="26">
        <v>2000</v>
      </c>
      <c r="C56" s="23">
        <v>0</v>
      </c>
    </row>
    <row r="57" spans="1:3" x14ac:dyDescent="0.2">
      <c r="A57" s="25" t="s">
        <v>53</v>
      </c>
      <c r="B57" s="26">
        <v>2458</v>
      </c>
      <c r="C57" s="23">
        <v>0</v>
      </c>
    </row>
    <row r="58" spans="1:3" x14ac:dyDescent="0.2">
      <c r="A58" s="25" t="s">
        <v>54</v>
      </c>
      <c r="B58" s="26">
        <v>2001</v>
      </c>
      <c r="C58" s="23">
        <v>0</v>
      </c>
    </row>
    <row r="59" spans="1:3" x14ac:dyDescent="0.2">
      <c r="A59" s="25" t="s">
        <v>55</v>
      </c>
      <c r="B59" s="26">
        <v>2429</v>
      </c>
      <c r="C59" s="23">
        <v>0</v>
      </c>
    </row>
    <row r="60" spans="1:3" x14ac:dyDescent="0.2">
      <c r="A60" s="25" t="s">
        <v>56</v>
      </c>
      <c r="B60" s="26">
        <v>2444</v>
      </c>
      <c r="C60" s="23">
        <v>0</v>
      </c>
    </row>
    <row r="61" spans="1:3" x14ac:dyDescent="0.2">
      <c r="A61" s="25" t="s">
        <v>57</v>
      </c>
      <c r="B61" s="26">
        <v>5209</v>
      </c>
      <c r="C61" s="23">
        <v>0</v>
      </c>
    </row>
    <row r="62" spans="1:3" x14ac:dyDescent="0.2">
      <c r="A62" s="25" t="s">
        <v>58</v>
      </c>
      <c r="B62" s="26">
        <v>2469</v>
      </c>
      <c r="C62" s="23">
        <v>0</v>
      </c>
    </row>
    <row r="63" spans="1:3" x14ac:dyDescent="0.2">
      <c r="A63" s="22" t="s">
        <v>451</v>
      </c>
      <c r="B63" s="26">
        <v>2430</v>
      </c>
      <c r="C63" s="23">
        <v>0</v>
      </c>
    </row>
    <row r="64" spans="1:3" x14ac:dyDescent="0.2">
      <c r="A64" s="25" t="s">
        <v>59</v>
      </c>
      <c r="B64" s="26">
        <v>2466</v>
      </c>
      <c r="C64" s="23">
        <v>0</v>
      </c>
    </row>
    <row r="65" spans="1:3" x14ac:dyDescent="0.2">
      <c r="A65" s="25" t="s">
        <v>60</v>
      </c>
      <c r="B65" s="26">
        <v>3543</v>
      </c>
      <c r="C65" s="23">
        <v>0</v>
      </c>
    </row>
    <row r="66" spans="1:3" x14ac:dyDescent="0.2">
      <c r="A66" s="25" t="s">
        <v>62</v>
      </c>
      <c r="B66" s="26">
        <v>3531</v>
      </c>
      <c r="C66" s="23">
        <v>0</v>
      </c>
    </row>
    <row r="67" spans="1:3" x14ac:dyDescent="0.2">
      <c r="A67" s="25" t="s">
        <v>103</v>
      </c>
      <c r="B67" s="26">
        <v>3526</v>
      </c>
      <c r="C67" s="23">
        <v>0</v>
      </c>
    </row>
    <row r="68" spans="1:3" x14ac:dyDescent="0.2">
      <c r="A68" s="25" t="s">
        <v>104</v>
      </c>
      <c r="B68" s="26">
        <v>3535</v>
      </c>
      <c r="C68" s="23">
        <v>0</v>
      </c>
    </row>
    <row r="69" spans="1:3" x14ac:dyDescent="0.2">
      <c r="A69" s="1029" t="s">
        <v>64</v>
      </c>
      <c r="B69" s="26">
        <v>2008</v>
      </c>
      <c r="C69" s="23">
        <v>0</v>
      </c>
    </row>
    <row r="70" spans="1:3" x14ac:dyDescent="0.2">
      <c r="A70" s="25" t="s">
        <v>105</v>
      </c>
      <c r="B70" s="26">
        <v>3542</v>
      </c>
      <c r="C70" s="23">
        <v>0</v>
      </c>
    </row>
    <row r="71" spans="1:3" x14ac:dyDescent="0.2">
      <c r="A71" s="25" t="s">
        <v>106</v>
      </c>
      <c r="B71" s="26">
        <v>3528</v>
      </c>
      <c r="C71" s="23">
        <v>0</v>
      </c>
    </row>
    <row r="72" spans="1:3" x14ac:dyDescent="0.2">
      <c r="A72" s="25" t="s">
        <v>107</v>
      </c>
      <c r="B72" s="26">
        <v>3534</v>
      </c>
      <c r="C72" s="23">
        <v>0</v>
      </c>
    </row>
    <row r="73" spans="1:3" x14ac:dyDescent="0.2">
      <c r="A73" s="25" t="s">
        <v>108</v>
      </c>
      <c r="B73" s="26">
        <v>3532</v>
      </c>
      <c r="C73" s="23">
        <v>0</v>
      </c>
    </row>
    <row r="74" spans="1:3" x14ac:dyDescent="0.2">
      <c r="A74" s="25" t="s">
        <v>65</v>
      </c>
      <c r="B74" s="26">
        <v>3546</v>
      </c>
      <c r="C74" s="23">
        <v>0</v>
      </c>
    </row>
    <row r="75" spans="1:3" x14ac:dyDescent="0.2">
      <c r="A75" s="25" t="s">
        <v>109</v>
      </c>
      <c r="B75" s="26">
        <v>3530</v>
      </c>
      <c r="C75" s="23">
        <v>0</v>
      </c>
    </row>
    <row r="76" spans="1:3" x14ac:dyDescent="0.2">
      <c r="A76" s="25" t="s">
        <v>67</v>
      </c>
      <c r="B76" s="26">
        <v>2459</v>
      </c>
      <c r="C76" s="23">
        <v>0</v>
      </c>
    </row>
    <row r="77" spans="1:3" x14ac:dyDescent="0.2">
      <c r="A77" s="9" t="s">
        <v>912</v>
      </c>
      <c r="B77" s="10">
        <v>4000</v>
      </c>
      <c r="C77" s="23">
        <v>0</v>
      </c>
    </row>
    <row r="78" spans="1:3" x14ac:dyDescent="0.2">
      <c r="A78" s="25"/>
      <c r="B78" s="26"/>
      <c r="C78" s="23"/>
    </row>
    <row r="79" spans="1:3" x14ac:dyDescent="0.2">
      <c r="A79" s="24" t="s">
        <v>110</v>
      </c>
      <c r="B79" s="24" t="s">
        <v>110</v>
      </c>
      <c r="C79" s="1026">
        <f>SUM(C7:C77)</f>
        <v>0</v>
      </c>
    </row>
    <row r="80" spans="1:3" x14ac:dyDescent="0.2">
      <c r="A80" s="25"/>
      <c r="B80" s="26"/>
      <c r="C80" s="23"/>
    </row>
    <row r="81" spans="1:3" x14ac:dyDescent="0.2">
      <c r="A81" s="25" t="s">
        <v>75</v>
      </c>
      <c r="B81" s="26">
        <v>5402</v>
      </c>
      <c r="C81" s="23">
        <v>0</v>
      </c>
    </row>
    <row r="82" spans="1:3" x14ac:dyDescent="0.2">
      <c r="A82" s="25" t="s">
        <v>68</v>
      </c>
      <c r="B82" s="26">
        <v>4608</v>
      </c>
      <c r="C82" s="23">
        <v>0</v>
      </c>
    </row>
    <row r="83" spans="1:3" x14ac:dyDescent="0.2">
      <c r="A83" s="25" t="s">
        <v>111</v>
      </c>
      <c r="B83" s="26">
        <v>4178</v>
      </c>
      <c r="C83" s="23">
        <v>0</v>
      </c>
    </row>
    <row r="84" spans="1:3" x14ac:dyDescent="0.2">
      <c r="A84" s="25" t="s">
        <v>69</v>
      </c>
      <c r="B84" s="26">
        <v>4181</v>
      </c>
      <c r="C84" s="23">
        <v>0</v>
      </c>
    </row>
    <row r="85" spans="1:3" x14ac:dyDescent="0.2">
      <c r="A85" s="25" t="s">
        <v>70</v>
      </c>
      <c r="B85" s="26">
        <v>4182</v>
      </c>
      <c r="C85" s="23">
        <v>0</v>
      </c>
    </row>
    <row r="86" spans="1:3" x14ac:dyDescent="0.2">
      <c r="A86" s="25" t="s">
        <v>71</v>
      </c>
      <c r="B86" s="39">
        <v>4001</v>
      </c>
      <c r="C86" s="23">
        <v>0</v>
      </c>
    </row>
    <row r="87" spans="1:3" x14ac:dyDescent="0.2">
      <c r="A87" s="25" t="s">
        <v>112</v>
      </c>
      <c r="B87" s="26">
        <v>5406</v>
      </c>
      <c r="C87" s="23">
        <v>0</v>
      </c>
    </row>
    <row r="88" spans="1:3" x14ac:dyDescent="0.2">
      <c r="A88" s="25" t="s">
        <v>113</v>
      </c>
      <c r="B88" s="26">
        <v>5407</v>
      </c>
      <c r="C88" s="23">
        <v>0</v>
      </c>
    </row>
    <row r="89" spans="1:3" x14ac:dyDescent="0.2">
      <c r="A89" s="25" t="s">
        <v>72</v>
      </c>
      <c r="B89" s="26">
        <v>4607</v>
      </c>
      <c r="C89" s="23">
        <v>19329.921551105632</v>
      </c>
    </row>
    <row r="90" spans="1:3" x14ac:dyDescent="0.2">
      <c r="A90" s="25" t="s">
        <v>1046</v>
      </c>
      <c r="B90" s="39">
        <v>4002</v>
      </c>
      <c r="C90" s="23">
        <v>0</v>
      </c>
    </row>
    <row r="91" spans="1:3" x14ac:dyDescent="0.2">
      <c r="A91" s="25" t="s">
        <v>74</v>
      </c>
      <c r="B91" s="26">
        <v>5412</v>
      </c>
      <c r="C91" s="23">
        <v>0</v>
      </c>
    </row>
    <row r="92" spans="1:3" x14ac:dyDescent="0.2">
      <c r="A92" s="25" t="s">
        <v>73</v>
      </c>
      <c r="B92" s="26">
        <v>5414</v>
      </c>
      <c r="C92" s="23">
        <v>0</v>
      </c>
    </row>
    <row r="93" spans="1:3" x14ac:dyDescent="0.2">
      <c r="A93" s="9" t="s">
        <v>597</v>
      </c>
      <c r="B93" s="10">
        <v>6905</v>
      </c>
      <c r="C93" s="23">
        <v>0</v>
      </c>
    </row>
    <row r="94" spans="1:3" x14ac:dyDescent="0.2">
      <c r="A94" s="25"/>
      <c r="B94" s="26"/>
      <c r="C94" s="23"/>
    </row>
    <row r="95" spans="1:3" x14ac:dyDescent="0.2">
      <c r="A95" s="24" t="s">
        <v>115</v>
      </c>
      <c r="B95" s="24" t="s">
        <v>115</v>
      </c>
      <c r="C95" s="1026">
        <f>SUM(C81:C93)</f>
        <v>19329.921551105632</v>
      </c>
    </row>
    <row r="96" spans="1:3" x14ac:dyDescent="0.2">
      <c r="A96" s="24"/>
      <c r="B96" s="24"/>
      <c r="C96" s="1026"/>
    </row>
    <row r="97" spans="1:5" x14ac:dyDescent="0.2">
      <c r="A97" s="9" t="s">
        <v>114</v>
      </c>
      <c r="B97" s="26">
        <v>4177</v>
      </c>
      <c r="C97" s="23">
        <v>0</v>
      </c>
    </row>
    <row r="98" spans="1:5" x14ac:dyDescent="0.2">
      <c r="A98" s="1"/>
      <c r="B98" s="24"/>
      <c r="C98" s="1026"/>
    </row>
    <row r="99" spans="1:5" x14ac:dyDescent="0.2">
      <c r="A99" s="1" t="s">
        <v>914</v>
      </c>
      <c r="B99" s="1" t="s">
        <v>915</v>
      </c>
      <c r="C99" s="1026">
        <f>C97</f>
        <v>0</v>
      </c>
    </row>
    <row r="100" spans="1:5" x14ac:dyDescent="0.2">
      <c r="A100" s="25"/>
      <c r="B100" s="26"/>
      <c r="C100" s="1026"/>
    </row>
    <row r="101" spans="1:5" x14ac:dyDescent="0.2">
      <c r="A101" s="24" t="s">
        <v>116</v>
      </c>
      <c r="B101" s="24" t="s">
        <v>117</v>
      </c>
      <c r="C101" s="1026">
        <f>C95+C79+C99</f>
        <v>19329.921551105632</v>
      </c>
    </row>
    <row r="102" spans="1:5" x14ac:dyDescent="0.2">
      <c r="A102" s="102"/>
      <c r="B102" s="100"/>
      <c r="C102" s="100"/>
      <c r="D102" s="1050"/>
      <c r="E102" s="136"/>
    </row>
    <row r="103" spans="1:5" x14ac:dyDescent="0.2">
      <c r="A103" s="53"/>
      <c r="B103" s="53"/>
      <c r="C103" s="53"/>
      <c r="D103" s="1050"/>
      <c r="E103" s="1051"/>
    </row>
    <row r="104" spans="1:5" x14ac:dyDescent="0.2">
      <c r="A104" s="53"/>
      <c r="B104" s="53"/>
      <c r="C104" s="53"/>
      <c r="D104" s="1050"/>
      <c r="E104" s="1051"/>
    </row>
    <row r="105" spans="1:5" x14ac:dyDescent="0.2">
      <c r="A105" s="53"/>
      <c r="B105" s="53"/>
      <c r="C105" s="53"/>
      <c r="D105" s="1050"/>
      <c r="E105" s="1051"/>
    </row>
    <row r="106" spans="1:5" x14ac:dyDescent="0.2">
      <c r="A106" s="53"/>
      <c r="B106" s="53"/>
      <c r="C106" s="53"/>
      <c r="D106" s="1050"/>
      <c r="E106" s="1051"/>
    </row>
    <row r="107" spans="1:5" x14ac:dyDescent="0.2">
      <c r="A107" s="53"/>
      <c r="B107" s="53"/>
      <c r="C107" s="53"/>
      <c r="D107" s="1050"/>
      <c r="E107" s="1051"/>
    </row>
    <row r="108" spans="1:5" x14ac:dyDescent="0.2">
      <c r="A108" s="53"/>
      <c r="B108" s="53"/>
      <c r="C108" s="53"/>
      <c r="D108" s="1050"/>
      <c r="E108" s="1051"/>
    </row>
    <row r="109" spans="1:5" x14ac:dyDescent="0.2">
      <c r="A109" s="84"/>
      <c r="B109" s="101"/>
      <c r="C109" s="101"/>
      <c r="D109" s="1050"/>
      <c r="E109" s="1051"/>
    </row>
    <row r="110" spans="1:5" x14ac:dyDescent="0.2">
      <c r="A110" s="104"/>
      <c r="B110" s="82"/>
      <c r="C110" s="103"/>
      <c r="D110" s="1050"/>
      <c r="E110" s="1051"/>
    </row>
    <row r="111" spans="1:5" x14ac:dyDescent="0.2">
      <c r="A111" s="79" t="s">
        <v>249</v>
      </c>
      <c r="B111" s="79">
        <v>206189</v>
      </c>
      <c r="C111" s="137"/>
      <c r="D111" s="1050"/>
      <c r="E111" s="1051"/>
    </row>
    <row r="112" spans="1:5" x14ac:dyDescent="0.2">
      <c r="A112" s="1158" t="s">
        <v>10</v>
      </c>
      <c r="B112" s="94">
        <v>2012</v>
      </c>
      <c r="C112" s="103"/>
      <c r="D112" s="1050"/>
      <c r="E112" s="1051"/>
    </row>
    <row r="113" spans="1:5" x14ac:dyDescent="0.2">
      <c r="A113" s="1158" t="s">
        <v>73</v>
      </c>
      <c r="B113" s="94">
        <v>5414</v>
      </c>
      <c r="C113" s="82"/>
      <c r="D113" s="1050"/>
      <c r="E113" s="1051"/>
    </row>
    <row r="114" spans="1:5" x14ac:dyDescent="0.2">
      <c r="A114" s="1158" t="s">
        <v>912</v>
      </c>
      <c r="B114" s="94">
        <v>4000</v>
      </c>
      <c r="C114" s="82"/>
      <c r="D114" s="1050"/>
      <c r="E114" s="1051"/>
    </row>
    <row r="115" spans="1:5" x14ac:dyDescent="0.2">
      <c r="A115" s="79" t="s">
        <v>11</v>
      </c>
      <c r="B115" s="79">
        <v>2443</v>
      </c>
      <c r="C115" s="134"/>
      <c r="D115" s="1050"/>
      <c r="E115" s="1051"/>
    </row>
    <row r="116" spans="1:5" x14ac:dyDescent="0.2">
      <c r="A116" s="1158" t="s">
        <v>94</v>
      </c>
      <c r="B116" s="94">
        <v>2442</v>
      </c>
      <c r="C116" s="82"/>
      <c r="D116" s="1050"/>
      <c r="E116" s="1051"/>
    </row>
    <row r="117" spans="1:5" x14ac:dyDescent="0.2">
      <c r="A117" s="80" t="s">
        <v>252</v>
      </c>
      <c r="B117" s="80" t="s">
        <v>253</v>
      </c>
      <c r="C117" s="139"/>
      <c r="D117" s="1050"/>
      <c r="E117" s="1051"/>
    </row>
    <row r="118" spans="1:5" x14ac:dyDescent="0.2">
      <c r="A118" s="79" t="s">
        <v>13</v>
      </c>
      <c r="B118" s="79">
        <v>2629</v>
      </c>
      <c r="C118" s="106"/>
      <c r="D118" s="1050"/>
      <c r="E118" s="136"/>
    </row>
    <row r="119" spans="1:5" x14ac:dyDescent="0.2">
      <c r="A119" s="1158" t="s">
        <v>14</v>
      </c>
      <c r="B119" s="94">
        <v>2509</v>
      </c>
      <c r="C119" s="100"/>
      <c r="D119" s="1050"/>
      <c r="E119" s="1051"/>
    </row>
    <row r="120" spans="1:5" x14ac:dyDescent="0.2">
      <c r="A120" s="79" t="s">
        <v>2</v>
      </c>
      <c r="B120" s="79">
        <v>1014</v>
      </c>
    </row>
    <row r="121" spans="1:5" x14ac:dyDescent="0.2">
      <c r="A121" s="1158" t="s">
        <v>15</v>
      </c>
      <c r="B121" s="94">
        <v>2005</v>
      </c>
    </row>
    <row r="122" spans="1:5" x14ac:dyDescent="0.2">
      <c r="A122" s="79" t="s">
        <v>16</v>
      </c>
      <c r="B122" s="79">
        <v>2464</v>
      </c>
    </row>
    <row r="123" spans="1:5" x14ac:dyDescent="0.2">
      <c r="A123" s="661" t="s">
        <v>763</v>
      </c>
      <c r="B123" s="697" t="s">
        <v>765</v>
      </c>
    </row>
    <row r="124" spans="1:5" x14ac:dyDescent="0.2">
      <c r="A124" s="79" t="s">
        <v>17</v>
      </c>
      <c r="B124" s="79">
        <v>2004</v>
      </c>
    </row>
    <row r="125" spans="1:5" x14ac:dyDescent="0.2">
      <c r="A125" s="79" t="s">
        <v>18</v>
      </c>
      <c r="B125" s="79">
        <v>2405</v>
      </c>
    </row>
    <row r="126" spans="1:5" x14ac:dyDescent="0.2">
      <c r="A126" s="79" t="s">
        <v>254</v>
      </c>
      <c r="B126" s="79" t="s">
        <v>256</v>
      </c>
    </row>
    <row r="127" spans="1:5" ht="15" x14ac:dyDescent="0.25">
      <c r="A127" s="1160" t="s">
        <v>261</v>
      </c>
      <c r="B127" s="1162" t="s">
        <v>766</v>
      </c>
    </row>
    <row r="128" spans="1:5" x14ac:dyDescent="0.2">
      <c r="A128" s="1163" t="s">
        <v>257</v>
      </c>
      <c r="B128" s="1164" t="s">
        <v>258</v>
      </c>
    </row>
    <row r="129" spans="1:2" x14ac:dyDescent="0.2">
      <c r="A129" s="1160" t="s">
        <v>259</v>
      </c>
      <c r="B129" s="1165" t="s">
        <v>260</v>
      </c>
    </row>
    <row r="130" spans="1:2" x14ac:dyDescent="0.2">
      <c r="A130" s="79" t="s">
        <v>19</v>
      </c>
      <c r="B130" s="79">
        <v>2011</v>
      </c>
    </row>
    <row r="131" spans="1:2" x14ac:dyDescent="0.2">
      <c r="A131" s="80" t="s">
        <v>262</v>
      </c>
      <c r="B131" s="80" t="s">
        <v>263</v>
      </c>
    </row>
    <row r="132" spans="1:2" x14ac:dyDescent="0.2">
      <c r="A132" s="79" t="s">
        <v>20</v>
      </c>
      <c r="B132" s="79">
        <v>5201</v>
      </c>
    </row>
    <row r="133" spans="1:2" x14ac:dyDescent="0.2">
      <c r="A133" s="79" t="s">
        <v>264</v>
      </c>
      <c r="B133" s="79">
        <v>206124</v>
      </c>
    </row>
    <row r="134" spans="1:2" x14ac:dyDescent="0.2">
      <c r="A134" s="79" t="s">
        <v>21</v>
      </c>
      <c r="B134" s="79">
        <v>2433</v>
      </c>
    </row>
    <row r="135" spans="1:2" x14ac:dyDescent="0.2">
      <c r="A135" s="1158" t="s">
        <v>22</v>
      </c>
      <c r="B135" s="94">
        <v>2432</v>
      </c>
    </row>
    <row r="136" spans="1:2" x14ac:dyDescent="0.2">
      <c r="A136" s="79" t="s">
        <v>267</v>
      </c>
      <c r="B136" s="79" t="s">
        <v>269</v>
      </c>
    </row>
    <row r="137" spans="1:2" x14ac:dyDescent="0.2">
      <c r="A137" s="79" t="s">
        <v>199</v>
      </c>
      <c r="B137" s="79">
        <v>2447</v>
      </c>
    </row>
    <row r="138" spans="1:2" x14ac:dyDescent="0.2">
      <c r="A138" s="79" t="s">
        <v>23</v>
      </c>
      <c r="B138" s="79">
        <v>2512</v>
      </c>
    </row>
    <row r="139" spans="1:2" x14ac:dyDescent="0.2">
      <c r="A139" s="79" t="s">
        <v>270</v>
      </c>
      <c r="B139" s="79">
        <v>206126</v>
      </c>
    </row>
    <row r="140" spans="1:2" x14ac:dyDescent="0.2">
      <c r="A140" s="79" t="s">
        <v>272</v>
      </c>
      <c r="B140" s="79">
        <v>206111</v>
      </c>
    </row>
    <row r="141" spans="1:2" x14ac:dyDescent="0.2">
      <c r="A141" s="79" t="s">
        <v>274</v>
      </c>
      <c r="B141" s="79">
        <v>206091</v>
      </c>
    </row>
    <row r="142" spans="1:2" x14ac:dyDescent="0.2">
      <c r="A142" s="79" t="s">
        <v>24</v>
      </c>
      <c r="B142" s="79">
        <v>2456</v>
      </c>
    </row>
    <row r="143" spans="1:2" x14ac:dyDescent="0.2">
      <c r="A143" s="79" t="s">
        <v>3</v>
      </c>
      <c r="B143" s="79">
        <v>1017</v>
      </c>
    </row>
    <row r="144" spans="1:2" x14ac:dyDescent="0.2">
      <c r="A144" s="79" t="s">
        <v>25</v>
      </c>
      <c r="B144" s="79">
        <v>2449</v>
      </c>
    </row>
    <row r="145" spans="1:2" x14ac:dyDescent="0.2">
      <c r="A145" s="1158" t="s">
        <v>26</v>
      </c>
      <c r="B145" s="79">
        <v>2448</v>
      </c>
    </row>
    <row r="146" spans="1:2" x14ac:dyDescent="0.2">
      <c r="A146" s="79" t="s">
        <v>4</v>
      </c>
      <c r="B146" s="79">
        <v>1006</v>
      </c>
    </row>
    <row r="147" spans="1:2" x14ac:dyDescent="0.2">
      <c r="A147" s="79" t="s">
        <v>27</v>
      </c>
      <c r="B147" s="79">
        <v>2467</v>
      </c>
    </row>
    <row r="148" spans="1:2" x14ac:dyDescent="0.2">
      <c r="A148" s="1158" t="s">
        <v>75</v>
      </c>
      <c r="B148" s="94">
        <v>5402</v>
      </c>
    </row>
    <row r="149" spans="1:2" x14ac:dyDescent="0.2">
      <c r="A149" s="1158" t="s">
        <v>28</v>
      </c>
      <c r="B149" s="94">
        <v>2455</v>
      </c>
    </row>
    <row r="150" spans="1:2" x14ac:dyDescent="0.2">
      <c r="A150" s="1158" t="s">
        <v>29</v>
      </c>
      <c r="B150" s="94">
        <v>5203</v>
      </c>
    </row>
    <row r="151" spans="1:2" x14ac:dyDescent="0.2">
      <c r="A151" s="107" t="s">
        <v>30</v>
      </c>
      <c r="B151" s="79">
        <v>2451</v>
      </c>
    </row>
    <row r="152" spans="1:2" x14ac:dyDescent="0.2">
      <c r="A152" s="80" t="s">
        <v>276</v>
      </c>
      <c r="B152" s="80" t="s">
        <v>277</v>
      </c>
    </row>
    <row r="153" spans="1:2" x14ac:dyDescent="0.2">
      <c r="A153" s="79" t="s">
        <v>278</v>
      </c>
      <c r="B153" s="79">
        <v>206128</v>
      </c>
    </row>
    <row r="154" spans="1:2" x14ac:dyDescent="0.2">
      <c r="A154" s="1158" t="s">
        <v>452</v>
      </c>
      <c r="B154" s="94">
        <v>4002</v>
      </c>
    </row>
    <row r="155" spans="1:2" x14ac:dyDescent="0.2">
      <c r="A155" s="456" t="s">
        <v>455</v>
      </c>
      <c r="B155" s="79">
        <v>2430</v>
      </c>
    </row>
    <row r="156" spans="1:2" x14ac:dyDescent="0.2">
      <c r="A156" s="1167" t="s">
        <v>768</v>
      </c>
      <c r="B156" s="1169" t="s">
        <v>769</v>
      </c>
    </row>
    <row r="157" spans="1:2" x14ac:dyDescent="0.2">
      <c r="A157" s="1158" t="s">
        <v>68</v>
      </c>
      <c r="B157" s="94">
        <v>4608</v>
      </c>
    </row>
    <row r="158" spans="1:2" x14ac:dyDescent="0.2">
      <c r="A158" s="1158" t="s">
        <v>31</v>
      </c>
      <c r="B158" s="94">
        <v>2409</v>
      </c>
    </row>
    <row r="159" spans="1:2" x14ac:dyDescent="0.2">
      <c r="A159" s="1170" t="s">
        <v>281</v>
      </c>
      <c r="B159" s="1168" t="s">
        <v>282</v>
      </c>
    </row>
    <row r="160" spans="1:2" x14ac:dyDescent="0.2">
      <c r="A160" s="1171" t="s">
        <v>1401</v>
      </c>
      <c r="B160" s="1173" t="s">
        <v>771</v>
      </c>
    </row>
    <row r="161" spans="1:2" x14ac:dyDescent="0.2">
      <c r="A161" s="1174" t="s">
        <v>539</v>
      </c>
      <c r="B161" s="96">
        <v>205921</v>
      </c>
    </row>
    <row r="162" spans="1:2" x14ac:dyDescent="0.2">
      <c r="A162" s="1171" t="s">
        <v>1372</v>
      </c>
      <c r="B162" s="1154" t="s">
        <v>776</v>
      </c>
    </row>
    <row r="163" spans="1:2" x14ac:dyDescent="0.2">
      <c r="A163" s="1174" t="s">
        <v>538</v>
      </c>
      <c r="B163" s="96">
        <v>205999</v>
      </c>
    </row>
    <row r="164" spans="1:2" x14ac:dyDescent="0.2">
      <c r="A164" s="96" t="s">
        <v>537</v>
      </c>
      <c r="B164" s="95" t="s">
        <v>283</v>
      </c>
    </row>
    <row r="165" spans="1:2" x14ac:dyDescent="0.2">
      <c r="A165" s="1171" t="s">
        <v>1373</v>
      </c>
      <c r="B165" s="1153">
        <v>206065</v>
      </c>
    </row>
    <row r="166" spans="1:2" x14ac:dyDescent="0.2">
      <c r="A166" s="1175" t="s">
        <v>1375</v>
      </c>
      <c r="B166" s="1154" t="s">
        <v>787</v>
      </c>
    </row>
    <row r="167" spans="1:2" x14ac:dyDescent="0.2">
      <c r="A167" s="456" t="s">
        <v>589</v>
      </c>
      <c r="B167" s="1176" t="s">
        <v>288</v>
      </c>
    </row>
    <row r="168" spans="1:2" x14ac:dyDescent="0.2">
      <c r="A168" s="1177" t="s">
        <v>540</v>
      </c>
      <c r="B168" s="96">
        <v>205922</v>
      </c>
    </row>
    <row r="169" spans="1:2" x14ac:dyDescent="0.2">
      <c r="A169" s="456" t="s">
        <v>587</v>
      </c>
      <c r="B169" s="1154" t="s">
        <v>784</v>
      </c>
    </row>
    <row r="170" spans="1:2" x14ac:dyDescent="0.2">
      <c r="A170" s="1171" t="s">
        <v>1374</v>
      </c>
      <c r="B170" s="1154" t="s">
        <v>781</v>
      </c>
    </row>
    <row r="171" spans="1:2" x14ac:dyDescent="0.2">
      <c r="A171" s="1171" t="s">
        <v>1376</v>
      </c>
      <c r="B171" s="1178">
        <v>205919</v>
      </c>
    </row>
    <row r="172" spans="1:2" x14ac:dyDescent="0.2">
      <c r="A172" s="96" t="s">
        <v>541</v>
      </c>
      <c r="B172" s="95" t="s">
        <v>287</v>
      </c>
    </row>
    <row r="173" spans="1:2" x14ac:dyDescent="0.2">
      <c r="A173" s="1171" t="s">
        <v>1377</v>
      </c>
      <c r="B173" s="1179" t="s">
        <v>791</v>
      </c>
    </row>
    <row r="174" spans="1:2" x14ac:dyDescent="0.2">
      <c r="A174" s="1171" t="s">
        <v>1378</v>
      </c>
      <c r="B174" s="1169" t="s">
        <v>793</v>
      </c>
    </row>
    <row r="175" spans="1:2" x14ac:dyDescent="0.2">
      <c r="A175" s="1180" t="s">
        <v>1380</v>
      </c>
      <c r="B175" s="1154" t="s">
        <v>796</v>
      </c>
    </row>
    <row r="176" spans="1:2" x14ac:dyDescent="0.2">
      <c r="A176" s="1181" t="s">
        <v>1379</v>
      </c>
      <c r="B176" s="697">
        <v>205849</v>
      </c>
    </row>
    <row r="177" spans="1:2" x14ac:dyDescent="0.2">
      <c r="A177" s="456" t="s">
        <v>594</v>
      </c>
      <c r="B177" s="1176" t="s">
        <v>284</v>
      </c>
    </row>
    <row r="178" spans="1:2" x14ac:dyDescent="0.2">
      <c r="A178" s="1182" t="s">
        <v>1381</v>
      </c>
      <c r="B178" s="1154" t="s">
        <v>798</v>
      </c>
    </row>
    <row r="179" spans="1:2" x14ac:dyDescent="0.2">
      <c r="A179" s="1183" t="s">
        <v>1385</v>
      </c>
      <c r="B179" s="1184">
        <v>205922</v>
      </c>
    </row>
    <row r="180" spans="1:2" x14ac:dyDescent="0.2">
      <c r="A180" s="1185" t="s">
        <v>1384</v>
      </c>
      <c r="B180" s="1179">
        <v>205881</v>
      </c>
    </row>
    <row r="181" spans="1:2" x14ac:dyDescent="0.2">
      <c r="A181" s="1186" t="s">
        <v>1382</v>
      </c>
      <c r="B181" s="1187" t="s">
        <v>801</v>
      </c>
    </row>
    <row r="182" spans="1:2" x14ac:dyDescent="0.2">
      <c r="A182" s="1174" t="s">
        <v>542</v>
      </c>
      <c r="B182" s="96" t="s">
        <v>289</v>
      </c>
    </row>
    <row r="183" spans="1:2" x14ac:dyDescent="0.2">
      <c r="A183" s="1171" t="s">
        <v>1383</v>
      </c>
      <c r="B183" s="1179" t="s">
        <v>806</v>
      </c>
    </row>
    <row r="184" spans="1:2" x14ac:dyDescent="0.2">
      <c r="A184" s="1185" t="s">
        <v>807</v>
      </c>
      <c r="B184" s="1179" t="s">
        <v>808</v>
      </c>
    </row>
    <row r="185" spans="1:2" x14ac:dyDescent="0.2">
      <c r="A185" s="1185" t="s">
        <v>1386</v>
      </c>
      <c r="B185" s="1189" t="s">
        <v>811</v>
      </c>
    </row>
    <row r="186" spans="1:2" x14ac:dyDescent="0.2">
      <c r="A186" s="1181" t="s">
        <v>543</v>
      </c>
      <c r="B186" s="96">
        <v>2</v>
      </c>
    </row>
    <row r="187" spans="1:2" x14ac:dyDescent="0.2">
      <c r="A187" s="1192" t="s">
        <v>1387</v>
      </c>
      <c r="B187" s="1150" t="s">
        <v>668</v>
      </c>
    </row>
    <row r="188" spans="1:2" x14ac:dyDescent="0.2">
      <c r="A188" s="693" t="s">
        <v>1388</v>
      </c>
      <c r="B188" s="1179" t="s">
        <v>686</v>
      </c>
    </row>
    <row r="189" spans="1:2" x14ac:dyDescent="0.2">
      <c r="A189" s="96" t="s">
        <v>544</v>
      </c>
      <c r="B189" s="1184">
        <v>205956</v>
      </c>
    </row>
    <row r="190" spans="1:2" x14ac:dyDescent="0.2">
      <c r="A190" s="702" t="s">
        <v>1389</v>
      </c>
      <c r="B190" s="1169">
        <v>260849</v>
      </c>
    </row>
    <row r="191" spans="1:2" x14ac:dyDescent="0.2">
      <c r="A191" s="693" t="s">
        <v>1390</v>
      </c>
      <c r="B191" s="1169" t="s">
        <v>818</v>
      </c>
    </row>
    <row r="192" spans="1:2" x14ac:dyDescent="0.2">
      <c r="A192" s="1193" t="s">
        <v>1391</v>
      </c>
      <c r="B192" s="1165" t="s">
        <v>291</v>
      </c>
    </row>
    <row r="193" spans="1:2" x14ac:dyDescent="0.2">
      <c r="A193" s="1145" t="s">
        <v>1392</v>
      </c>
      <c r="B193" s="1154" t="s">
        <v>821</v>
      </c>
    </row>
    <row r="194" spans="1:2" x14ac:dyDescent="0.2">
      <c r="A194" s="1142" t="s">
        <v>1394</v>
      </c>
      <c r="B194" s="1154" t="s">
        <v>825</v>
      </c>
    </row>
    <row r="195" spans="1:2" x14ac:dyDescent="0.2">
      <c r="A195" s="1142" t="s">
        <v>1393</v>
      </c>
      <c r="B195" s="1189" t="s">
        <v>823</v>
      </c>
    </row>
    <row r="196" spans="1:2" x14ac:dyDescent="0.2">
      <c r="A196" s="583" t="s">
        <v>1396</v>
      </c>
      <c r="B196" s="1154" t="s">
        <v>830</v>
      </c>
    </row>
    <row r="197" spans="1:2" x14ac:dyDescent="0.2">
      <c r="A197" s="1143" t="s">
        <v>1395</v>
      </c>
      <c r="B197" s="1154" t="s">
        <v>827</v>
      </c>
    </row>
    <row r="198" spans="1:2" x14ac:dyDescent="0.2">
      <c r="A198" s="1181" t="s">
        <v>591</v>
      </c>
      <c r="B198" s="95" t="s">
        <v>293</v>
      </c>
    </row>
    <row r="199" spans="1:2" x14ac:dyDescent="0.2">
      <c r="A199" s="1142" t="s">
        <v>1402</v>
      </c>
      <c r="B199" s="697" t="s">
        <v>833</v>
      </c>
    </row>
    <row r="200" spans="1:2" x14ac:dyDescent="0.2">
      <c r="A200" s="1142" t="s">
        <v>1403</v>
      </c>
      <c r="B200" s="1154" t="s">
        <v>835</v>
      </c>
    </row>
    <row r="201" spans="1:2" x14ac:dyDescent="0.2">
      <c r="A201" s="1174" t="s">
        <v>547</v>
      </c>
      <c r="B201" s="95" t="s">
        <v>295</v>
      </c>
    </row>
    <row r="202" spans="1:2" x14ac:dyDescent="0.2">
      <c r="A202" s="1148" t="s">
        <v>1397</v>
      </c>
      <c r="B202" s="1154">
        <v>206031</v>
      </c>
    </row>
    <row r="203" spans="1:2" x14ac:dyDescent="0.2">
      <c r="A203" s="1174" t="s">
        <v>546</v>
      </c>
      <c r="B203" s="95" t="s">
        <v>296</v>
      </c>
    </row>
    <row r="204" spans="1:2" x14ac:dyDescent="0.2">
      <c r="A204" s="96" t="s">
        <v>545</v>
      </c>
      <c r="B204" s="95" t="s">
        <v>294</v>
      </c>
    </row>
    <row r="205" spans="1:2" x14ac:dyDescent="0.2">
      <c r="A205" s="1143" t="s">
        <v>1398</v>
      </c>
      <c r="B205" s="1154" t="s">
        <v>840</v>
      </c>
    </row>
    <row r="206" spans="1:2" x14ac:dyDescent="0.2">
      <c r="A206" s="96" t="s">
        <v>1371</v>
      </c>
      <c r="B206" s="95" t="s">
        <v>298</v>
      </c>
    </row>
    <row r="207" spans="1:2" x14ac:dyDescent="0.2">
      <c r="A207" s="1143" t="s">
        <v>1407</v>
      </c>
      <c r="B207" s="1179" t="s">
        <v>844</v>
      </c>
    </row>
    <row r="208" spans="1:2" x14ac:dyDescent="0.2">
      <c r="A208" s="1181" t="s">
        <v>592</v>
      </c>
      <c r="B208" s="1184">
        <v>206043</v>
      </c>
    </row>
    <row r="209" spans="1:2" x14ac:dyDescent="0.2">
      <c r="A209" s="1177" t="s">
        <v>548</v>
      </c>
      <c r="B209" s="95" t="s">
        <v>299</v>
      </c>
    </row>
    <row r="210" spans="1:2" x14ac:dyDescent="0.2">
      <c r="A210" s="1194" t="s">
        <v>590</v>
      </c>
      <c r="B210" s="1195" t="s">
        <v>292</v>
      </c>
    </row>
    <row r="211" spans="1:2" x14ac:dyDescent="0.2">
      <c r="A211" s="1196" t="s">
        <v>593</v>
      </c>
      <c r="B211" s="1197" t="s">
        <v>297</v>
      </c>
    </row>
    <row r="212" spans="1:2" x14ac:dyDescent="0.2">
      <c r="A212" s="1143" t="s">
        <v>1406</v>
      </c>
      <c r="B212" s="1154">
        <v>206067</v>
      </c>
    </row>
    <row r="213" spans="1:2" ht="15" x14ac:dyDescent="0.2">
      <c r="A213" s="1177" t="s">
        <v>549</v>
      </c>
      <c r="B213" s="97" t="s">
        <v>300</v>
      </c>
    </row>
    <row r="214" spans="1:2" x14ac:dyDescent="0.2">
      <c r="A214" s="1190" t="s">
        <v>1400</v>
      </c>
      <c r="B214" s="1191" t="s">
        <v>290</v>
      </c>
    </row>
    <row r="215" spans="1:2" x14ac:dyDescent="0.2">
      <c r="A215" s="1198" t="s">
        <v>550</v>
      </c>
      <c r="B215" s="98" t="s">
        <v>301</v>
      </c>
    </row>
    <row r="216" spans="1:2" x14ac:dyDescent="0.2">
      <c r="A216" s="1147" t="s">
        <v>1404</v>
      </c>
      <c r="B216" s="1209" t="s">
        <v>854</v>
      </c>
    </row>
    <row r="217" spans="1:2" x14ac:dyDescent="0.2">
      <c r="A217" s="456" t="s">
        <v>595</v>
      </c>
      <c r="B217" s="1176" t="s">
        <v>285</v>
      </c>
    </row>
    <row r="218" spans="1:2" x14ac:dyDescent="0.2">
      <c r="A218" s="1147" t="s">
        <v>1405</v>
      </c>
      <c r="B218" s="1209" t="s">
        <v>856</v>
      </c>
    </row>
    <row r="219" spans="1:2" x14ac:dyDescent="0.2">
      <c r="A219" s="87" t="s">
        <v>302</v>
      </c>
      <c r="B219" s="88" t="s">
        <v>303</v>
      </c>
    </row>
    <row r="220" spans="1:2" x14ac:dyDescent="0.2">
      <c r="A220" s="79" t="s">
        <v>304</v>
      </c>
      <c r="B220" s="79" t="s">
        <v>306</v>
      </c>
    </row>
    <row r="221" spans="1:2" x14ac:dyDescent="0.2">
      <c r="A221" s="1144" t="s">
        <v>858</v>
      </c>
      <c r="B221" s="1169" t="s">
        <v>859</v>
      </c>
    </row>
    <row r="222" spans="1:2" x14ac:dyDescent="0.2">
      <c r="A222" s="1158" t="s">
        <v>111</v>
      </c>
      <c r="B222" s="94">
        <v>4178</v>
      </c>
    </row>
    <row r="223" spans="1:2" x14ac:dyDescent="0.2">
      <c r="A223" s="1158" t="s">
        <v>98</v>
      </c>
      <c r="B223" s="94">
        <v>3158</v>
      </c>
    </row>
    <row r="224" spans="1:2" x14ac:dyDescent="0.2">
      <c r="A224" s="79" t="s">
        <v>32</v>
      </c>
      <c r="B224" s="79">
        <v>2619</v>
      </c>
    </row>
    <row r="225" spans="1:2" x14ac:dyDescent="0.2">
      <c r="A225" s="1141" t="s">
        <v>860</v>
      </c>
      <c r="B225" s="1154" t="s">
        <v>861</v>
      </c>
    </row>
    <row r="226" spans="1:2" x14ac:dyDescent="0.2">
      <c r="A226" s="79" t="s">
        <v>307</v>
      </c>
      <c r="B226" s="80" t="s">
        <v>308</v>
      </c>
    </row>
    <row r="227" spans="1:2" x14ac:dyDescent="0.2">
      <c r="A227" s="79" t="s">
        <v>309</v>
      </c>
      <c r="B227" s="79">
        <v>258417</v>
      </c>
    </row>
    <row r="228" spans="1:2" x14ac:dyDescent="0.2">
      <c r="A228" s="79" t="s">
        <v>311</v>
      </c>
      <c r="B228" s="79" t="s">
        <v>313</v>
      </c>
    </row>
    <row r="229" spans="1:2" x14ac:dyDescent="0.2">
      <c r="A229" s="79" t="s">
        <v>314</v>
      </c>
      <c r="B229" s="79" t="s">
        <v>316</v>
      </c>
    </row>
    <row r="230" spans="1:2" x14ac:dyDescent="0.2">
      <c r="A230" s="79" t="s">
        <v>33</v>
      </c>
      <c r="B230" s="79">
        <v>2518</v>
      </c>
    </row>
    <row r="231" spans="1:2" x14ac:dyDescent="0.2">
      <c r="A231" s="1141" t="s">
        <v>862</v>
      </c>
      <c r="B231" s="1210" t="s">
        <v>863</v>
      </c>
    </row>
    <row r="232" spans="1:2" x14ac:dyDescent="0.2">
      <c r="A232" s="79" t="s">
        <v>317</v>
      </c>
      <c r="B232" s="79">
        <v>206106</v>
      </c>
    </row>
    <row r="233" spans="1:2" x14ac:dyDescent="0.2">
      <c r="A233" s="80" t="s">
        <v>319</v>
      </c>
      <c r="B233" s="80" t="s">
        <v>320</v>
      </c>
    </row>
    <row r="234" spans="1:2" x14ac:dyDescent="0.2">
      <c r="A234" s="1144" t="s">
        <v>864</v>
      </c>
      <c r="B234" s="1169" t="s">
        <v>865</v>
      </c>
    </row>
    <row r="235" spans="1:2" x14ac:dyDescent="0.2">
      <c r="A235" s="1158" t="s">
        <v>34</v>
      </c>
      <c r="B235" s="94">
        <v>2457</v>
      </c>
    </row>
    <row r="236" spans="1:2" x14ac:dyDescent="0.2">
      <c r="A236" s="1158" t="s">
        <v>99</v>
      </c>
      <c r="B236" s="79">
        <v>2010</v>
      </c>
    </row>
    <row r="237" spans="1:2" x14ac:dyDescent="0.2">
      <c r="A237" s="79" t="s">
        <v>35</v>
      </c>
      <c r="B237" s="79">
        <v>2002</v>
      </c>
    </row>
    <row r="238" spans="1:2" x14ac:dyDescent="0.2">
      <c r="A238" s="79" t="s">
        <v>36</v>
      </c>
      <c r="B238" s="79">
        <v>3544</v>
      </c>
    </row>
    <row r="239" spans="1:2" x14ac:dyDescent="0.2">
      <c r="A239" s="79" t="s">
        <v>5</v>
      </c>
      <c r="B239" s="79">
        <v>1008</v>
      </c>
    </row>
    <row r="240" spans="1:2" x14ac:dyDescent="0.2">
      <c r="A240" s="79" t="s">
        <v>321</v>
      </c>
      <c r="B240" s="79" t="s">
        <v>322</v>
      </c>
    </row>
    <row r="241" spans="1:2" x14ac:dyDescent="0.2">
      <c r="A241" s="79" t="s">
        <v>100</v>
      </c>
      <c r="B241" s="79">
        <v>2006</v>
      </c>
    </row>
    <row r="242" spans="1:2" x14ac:dyDescent="0.2">
      <c r="A242" s="80" t="s">
        <v>323</v>
      </c>
      <c r="B242" s="80" t="s">
        <v>324</v>
      </c>
    </row>
    <row r="243" spans="1:2" x14ac:dyDescent="0.2">
      <c r="A243" s="79" t="s">
        <v>325</v>
      </c>
      <c r="B243" s="79">
        <v>206133</v>
      </c>
    </row>
    <row r="244" spans="1:2" x14ac:dyDescent="0.2">
      <c r="A244" s="1149" t="s">
        <v>867</v>
      </c>
      <c r="B244" s="1169" t="s">
        <v>868</v>
      </c>
    </row>
    <row r="245" spans="1:2" x14ac:dyDescent="0.2">
      <c r="A245" s="79" t="s">
        <v>327</v>
      </c>
      <c r="B245" s="79" t="s">
        <v>329</v>
      </c>
    </row>
    <row r="246" spans="1:2" x14ac:dyDescent="0.2">
      <c r="A246" s="79" t="s">
        <v>330</v>
      </c>
      <c r="B246" s="79">
        <v>206134</v>
      </c>
    </row>
    <row r="247" spans="1:2" x14ac:dyDescent="0.2">
      <c r="A247" s="79" t="s">
        <v>334</v>
      </c>
      <c r="B247" s="79" t="s">
        <v>335</v>
      </c>
    </row>
    <row r="248" spans="1:2" x14ac:dyDescent="0.2">
      <c r="A248" s="1199" t="s">
        <v>332</v>
      </c>
      <c r="B248" s="1200" t="s">
        <v>333</v>
      </c>
    </row>
    <row r="249" spans="1:2" x14ac:dyDescent="0.2">
      <c r="A249" s="79" t="s">
        <v>336</v>
      </c>
      <c r="B249" s="79" t="s">
        <v>337</v>
      </c>
    </row>
    <row r="250" spans="1:2" x14ac:dyDescent="0.2">
      <c r="A250" s="79" t="s">
        <v>338</v>
      </c>
      <c r="B250" s="79">
        <v>206109</v>
      </c>
    </row>
    <row r="251" spans="1:2" x14ac:dyDescent="0.2">
      <c r="A251" s="79" t="s">
        <v>37</v>
      </c>
      <c r="B251" s="79">
        <v>2434</v>
      </c>
    </row>
    <row r="252" spans="1:2" x14ac:dyDescent="0.2">
      <c r="A252" s="1161" t="s">
        <v>597</v>
      </c>
      <c r="B252" s="147">
        <v>6905</v>
      </c>
    </row>
    <row r="253" spans="1:2" x14ac:dyDescent="0.2">
      <c r="A253" s="1158" t="s">
        <v>42</v>
      </c>
      <c r="B253" s="94">
        <v>2009</v>
      </c>
    </row>
    <row r="254" spans="1:2" x14ac:dyDescent="0.2">
      <c r="A254" s="1158" t="s">
        <v>38</v>
      </c>
      <c r="B254" s="94">
        <v>2522</v>
      </c>
    </row>
    <row r="255" spans="1:2" x14ac:dyDescent="0.2">
      <c r="A255" s="79" t="s">
        <v>340</v>
      </c>
      <c r="B255" s="79">
        <v>206110</v>
      </c>
    </row>
    <row r="256" spans="1:2" x14ac:dyDescent="0.2">
      <c r="A256" s="79" t="s">
        <v>342</v>
      </c>
      <c r="B256" s="79">
        <v>206135</v>
      </c>
    </row>
    <row r="257" spans="1:2" x14ac:dyDescent="0.2">
      <c r="A257" s="1158" t="s">
        <v>69</v>
      </c>
      <c r="B257" s="94">
        <v>4181</v>
      </c>
    </row>
    <row r="258" spans="1:2" x14ac:dyDescent="0.2">
      <c r="A258" s="79" t="s">
        <v>344</v>
      </c>
      <c r="B258" s="79">
        <v>509195</v>
      </c>
    </row>
    <row r="259" spans="1:2" x14ac:dyDescent="0.2">
      <c r="A259" s="87" t="s">
        <v>346</v>
      </c>
      <c r="B259" s="88" t="s">
        <v>347</v>
      </c>
    </row>
    <row r="260" spans="1:2" x14ac:dyDescent="0.2">
      <c r="A260" s="1201" t="s">
        <v>348</v>
      </c>
      <c r="B260" s="1202" t="s">
        <v>349</v>
      </c>
    </row>
    <row r="261" spans="1:2" x14ac:dyDescent="0.2">
      <c r="A261" s="79" t="s">
        <v>350</v>
      </c>
      <c r="B261" s="79" t="s">
        <v>352</v>
      </c>
    </row>
    <row r="262" spans="1:2" x14ac:dyDescent="0.2">
      <c r="A262" s="79" t="s">
        <v>353</v>
      </c>
      <c r="B262" s="79">
        <v>509199</v>
      </c>
    </row>
    <row r="263" spans="1:2" x14ac:dyDescent="0.2">
      <c r="A263" s="79" t="s">
        <v>355</v>
      </c>
      <c r="B263" s="79">
        <v>509197</v>
      </c>
    </row>
    <row r="264" spans="1:2" x14ac:dyDescent="0.2">
      <c r="A264" s="1151" t="s">
        <v>870</v>
      </c>
      <c r="B264" s="1211">
        <v>479383</v>
      </c>
    </row>
    <row r="265" spans="1:2" x14ac:dyDescent="0.2">
      <c r="A265" s="1170" t="s">
        <v>360</v>
      </c>
      <c r="B265" s="1168" t="s">
        <v>361</v>
      </c>
    </row>
    <row r="266" spans="1:2" x14ac:dyDescent="0.2">
      <c r="A266" s="1158" t="s">
        <v>70</v>
      </c>
      <c r="B266" s="94">
        <v>4182</v>
      </c>
    </row>
    <row r="267" spans="1:2" x14ac:dyDescent="0.2">
      <c r="A267" s="79" t="s">
        <v>357</v>
      </c>
      <c r="B267" s="79" t="s">
        <v>359</v>
      </c>
    </row>
    <row r="268" spans="1:2" x14ac:dyDescent="0.2">
      <c r="A268" s="79" t="s">
        <v>6</v>
      </c>
      <c r="B268" s="79">
        <v>1005</v>
      </c>
    </row>
    <row r="269" spans="1:2" x14ac:dyDescent="0.2">
      <c r="A269" s="489" t="s">
        <v>871</v>
      </c>
      <c r="B269" s="1179" t="s">
        <v>872</v>
      </c>
    </row>
    <row r="270" spans="1:2" x14ac:dyDescent="0.2">
      <c r="A270" s="1158" t="s">
        <v>39</v>
      </c>
      <c r="B270" s="94">
        <v>2436</v>
      </c>
    </row>
    <row r="271" spans="1:2" x14ac:dyDescent="0.2">
      <c r="A271" s="79" t="s">
        <v>362</v>
      </c>
      <c r="B271" s="79">
        <v>206117</v>
      </c>
    </row>
    <row r="272" spans="1:2" x14ac:dyDescent="0.2">
      <c r="A272" s="79" t="s">
        <v>40</v>
      </c>
      <c r="B272" s="79">
        <v>2452</v>
      </c>
    </row>
    <row r="273" spans="1:2" x14ac:dyDescent="0.2">
      <c r="A273" s="1158" t="s">
        <v>71</v>
      </c>
      <c r="B273" s="94">
        <v>4001</v>
      </c>
    </row>
    <row r="274" spans="1:2" x14ac:dyDescent="0.2">
      <c r="A274" s="79" t="s">
        <v>364</v>
      </c>
      <c r="B274" s="79">
        <v>206141</v>
      </c>
    </row>
    <row r="275" spans="1:2" x14ac:dyDescent="0.2">
      <c r="A275" s="1158" t="s">
        <v>41</v>
      </c>
      <c r="B275" s="94">
        <v>2627</v>
      </c>
    </row>
    <row r="276" spans="1:2" x14ac:dyDescent="0.2">
      <c r="A276" s="1158" t="s">
        <v>112</v>
      </c>
      <c r="B276" s="94">
        <v>5406</v>
      </c>
    </row>
    <row r="277" spans="1:2" x14ac:dyDescent="0.2">
      <c r="A277" s="1158" t="s">
        <v>113</v>
      </c>
      <c r="B277" s="94">
        <v>5407</v>
      </c>
    </row>
    <row r="278" spans="1:2" x14ac:dyDescent="0.2">
      <c r="A278" s="79" t="s">
        <v>366</v>
      </c>
      <c r="B278" s="79" t="s">
        <v>368</v>
      </c>
    </row>
    <row r="279" spans="1:2" x14ac:dyDescent="0.2">
      <c r="A279" s="79" t="s">
        <v>369</v>
      </c>
      <c r="B279" s="79">
        <v>258404</v>
      </c>
    </row>
    <row r="280" spans="1:2" x14ac:dyDescent="0.2">
      <c r="A280" s="1158" t="s">
        <v>101</v>
      </c>
      <c r="B280" s="79">
        <v>2473</v>
      </c>
    </row>
    <row r="281" spans="1:2" x14ac:dyDescent="0.2">
      <c r="A281" s="1158" t="s">
        <v>44</v>
      </c>
      <c r="B281" s="94">
        <v>2471</v>
      </c>
    </row>
    <row r="282" spans="1:2" x14ac:dyDescent="0.2">
      <c r="A282" s="79" t="s">
        <v>371</v>
      </c>
      <c r="B282" s="79">
        <v>258405</v>
      </c>
    </row>
    <row r="283" spans="1:2" x14ac:dyDescent="0.2">
      <c r="A283" s="79" t="s">
        <v>373</v>
      </c>
      <c r="B283" s="79">
        <v>258406</v>
      </c>
    </row>
    <row r="284" spans="1:2" x14ac:dyDescent="0.2">
      <c r="A284" s="79" t="s">
        <v>43</v>
      </c>
      <c r="B284" s="79">
        <v>2420</v>
      </c>
    </row>
    <row r="285" spans="1:2" x14ac:dyDescent="0.2">
      <c r="A285" s="79" t="s">
        <v>375</v>
      </c>
      <c r="B285" s="79">
        <v>206160</v>
      </c>
    </row>
    <row r="286" spans="1:2" x14ac:dyDescent="0.2">
      <c r="A286" s="79" t="s">
        <v>45</v>
      </c>
      <c r="B286" s="79">
        <v>2003</v>
      </c>
    </row>
    <row r="287" spans="1:2" x14ac:dyDescent="0.2">
      <c r="A287" s="1158" t="s">
        <v>46</v>
      </c>
      <c r="B287" s="94">
        <v>2423</v>
      </c>
    </row>
    <row r="288" spans="1:2" x14ac:dyDescent="0.2">
      <c r="A288" s="1158" t="s">
        <v>47</v>
      </c>
      <c r="B288" s="94">
        <v>2424</v>
      </c>
    </row>
    <row r="289" spans="1:2" x14ac:dyDescent="0.2">
      <c r="A289" s="79" t="s">
        <v>377</v>
      </c>
      <c r="B289" s="79" t="s">
        <v>379</v>
      </c>
    </row>
    <row r="290" spans="1:2" x14ac:dyDescent="0.2">
      <c r="A290" s="726" t="s">
        <v>873</v>
      </c>
      <c r="B290" s="1179" t="s">
        <v>874</v>
      </c>
    </row>
    <row r="291" spans="1:2" x14ac:dyDescent="0.2">
      <c r="A291" s="79" t="s">
        <v>382</v>
      </c>
      <c r="B291" s="79" t="s">
        <v>384</v>
      </c>
    </row>
    <row r="292" spans="1:2" x14ac:dyDescent="0.2">
      <c r="A292" s="79" t="s">
        <v>385</v>
      </c>
      <c r="B292" s="79">
        <v>206146</v>
      </c>
    </row>
    <row r="293" spans="1:2" x14ac:dyDescent="0.2">
      <c r="A293" s="1158" t="s">
        <v>48</v>
      </c>
      <c r="B293" s="94">
        <v>2439</v>
      </c>
    </row>
    <row r="294" spans="1:2" x14ac:dyDescent="0.2">
      <c r="A294" s="1158" t="s">
        <v>49</v>
      </c>
      <c r="B294" s="94">
        <v>2440</v>
      </c>
    </row>
    <row r="295" spans="1:2" x14ac:dyDescent="0.2">
      <c r="A295" s="80" t="s">
        <v>387</v>
      </c>
      <c r="B295" s="80" t="s">
        <v>388</v>
      </c>
    </row>
    <row r="296" spans="1:2" x14ac:dyDescent="0.2">
      <c r="A296" s="1158" t="s">
        <v>102</v>
      </c>
      <c r="B296" s="79">
        <v>2462</v>
      </c>
    </row>
    <row r="297" spans="1:2" x14ac:dyDescent="0.2">
      <c r="A297" s="1158" t="s">
        <v>50</v>
      </c>
      <c r="B297" s="94">
        <v>2463</v>
      </c>
    </row>
    <row r="298" spans="1:2" x14ac:dyDescent="0.2">
      <c r="A298" s="79" t="s">
        <v>51</v>
      </c>
      <c r="B298" s="79">
        <v>2505</v>
      </c>
    </row>
    <row r="299" spans="1:2" x14ac:dyDescent="0.2">
      <c r="A299" s="79" t="s">
        <v>52</v>
      </c>
      <c r="B299" s="79">
        <v>2000</v>
      </c>
    </row>
    <row r="300" spans="1:2" x14ac:dyDescent="0.2">
      <c r="A300" s="1158" t="s">
        <v>53</v>
      </c>
      <c r="B300" s="94">
        <v>2458</v>
      </c>
    </row>
    <row r="301" spans="1:2" x14ac:dyDescent="0.2">
      <c r="A301" s="79" t="s">
        <v>392</v>
      </c>
      <c r="B301" s="79" t="s">
        <v>394</v>
      </c>
    </row>
    <row r="302" spans="1:2" x14ac:dyDescent="0.2">
      <c r="A302" s="79" t="s">
        <v>54</v>
      </c>
      <c r="B302" s="79">
        <v>2001</v>
      </c>
    </row>
    <row r="303" spans="1:2" x14ac:dyDescent="0.2">
      <c r="A303" s="80" t="s">
        <v>395</v>
      </c>
      <c r="B303" s="80" t="s">
        <v>396</v>
      </c>
    </row>
    <row r="304" spans="1:2" x14ac:dyDescent="0.2">
      <c r="A304" s="79" t="s">
        <v>55</v>
      </c>
      <c r="B304" s="79">
        <v>2429</v>
      </c>
    </row>
    <row r="305" spans="1:2" x14ac:dyDescent="0.2">
      <c r="A305" s="79" t="s">
        <v>397</v>
      </c>
      <c r="B305" s="79">
        <v>113044</v>
      </c>
    </row>
    <row r="306" spans="1:2" x14ac:dyDescent="0.2">
      <c r="A306" s="79" t="s">
        <v>399</v>
      </c>
      <c r="B306" s="79" t="s">
        <v>401</v>
      </c>
    </row>
    <row r="307" spans="1:2" x14ac:dyDescent="0.2">
      <c r="A307" s="1158" t="s">
        <v>72</v>
      </c>
      <c r="B307" s="94">
        <v>4607</v>
      </c>
    </row>
    <row r="308" spans="1:2" x14ac:dyDescent="0.2">
      <c r="A308" s="665" t="s">
        <v>881</v>
      </c>
      <c r="B308" s="1169" t="s">
        <v>882</v>
      </c>
    </row>
    <row r="309" spans="1:2" x14ac:dyDescent="0.2">
      <c r="A309" s="726" t="s">
        <v>883</v>
      </c>
      <c r="B309" s="1154" t="s">
        <v>884</v>
      </c>
    </row>
    <row r="310" spans="1:2" x14ac:dyDescent="0.2">
      <c r="A310" s="79" t="s">
        <v>56</v>
      </c>
      <c r="B310" s="79">
        <v>2444</v>
      </c>
    </row>
    <row r="311" spans="1:2" x14ac:dyDescent="0.2">
      <c r="A311" s="1158" t="s">
        <v>57</v>
      </c>
      <c r="B311" s="94">
        <v>5209</v>
      </c>
    </row>
    <row r="312" spans="1:2" x14ac:dyDescent="0.2">
      <c r="A312" s="79" t="s">
        <v>402</v>
      </c>
      <c r="B312" s="79" t="s">
        <v>404</v>
      </c>
    </row>
    <row r="313" spans="1:2" x14ac:dyDescent="0.2">
      <c r="A313" s="79" t="s">
        <v>405</v>
      </c>
      <c r="B313" s="79" t="s">
        <v>407</v>
      </c>
    </row>
    <row r="314" spans="1:2" x14ac:dyDescent="0.2">
      <c r="A314" s="1158" t="s">
        <v>58</v>
      </c>
      <c r="B314" s="94">
        <v>2469</v>
      </c>
    </row>
    <row r="315" spans="1:2" x14ac:dyDescent="0.2">
      <c r="A315" s="79" t="s">
        <v>408</v>
      </c>
      <c r="B315" s="79" t="s">
        <v>410</v>
      </c>
    </row>
    <row r="316" spans="1:2" x14ac:dyDescent="0.2">
      <c r="A316" s="99" t="s">
        <v>411</v>
      </c>
      <c r="B316" s="99" t="s">
        <v>412</v>
      </c>
    </row>
    <row r="317" spans="1:2" x14ac:dyDescent="0.2">
      <c r="A317" s="1158" t="s">
        <v>59</v>
      </c>
      <c r="B317" s="94">
        <v>2466</v>
      </c>
    </row>
    <row r="318" spans="1:2" x14ac:dyDescent="0.2">
      <c r="A318" s="79" t="s">
        <v>60</v>
      </c>
      <c r="B318" s="79">
        <v>3543</v>
      </c>
    </row>
    <row r="319" spans="1:2" x14ac:dyDescent="0.2">
      <c r="A319" s="79" t="s">
        <v>413</v>
      </c>
      <c r="B319" s="79">
        <v>206152</v>
      </c>
    </row>
    <row r="320" spans="1:2" x14ac:dyDescent="0.2">
      <c r="A320" s="79" t="s">
        <v>415</v>
      </c>
      <c r="B320" s="79">
        <v>206153</v>
      </c>
    </row>
    <row r="321" spans="1:2" x14ac:dyDescent="0.2">
      <c r="A321" s="1158" t="s">
        <v>62</v>
      </c>
      <c r="B321" s="94">
        <v>3531</v>
      </c>
    </row>
    <row r="322" spans="1:2" x14ac:dyDescent="0.2">
      <c r="A322" s="79" t="s">
        <v>63</v>
      </c>
      <c r="B322" s="79">
        <v>3526</v>
      </c>
    </row>
    <row r="323" spans="1:2" x14ac:dyDescent="0.2">
      <c r="A323" s="1158" t="s">
        <v>104</v>
      </c>
      <c r="B323" s="94">
        <v>3535</v>
      </c>
    </row>
    <row r="324" spans="1:2" x14ac:dyDescent="0.2">
      <c r="A324" s="1203" t="s">
        <v>64</v>
      </c>
      <c r="B324" s="94">
        <v>2008</v>
      </c>
    </row>
    <row r="325" spans="1:2" x14ac:dyDescent="0.2">
      <c r="A325" s="1158" t="s">
        <v>105</v>
      </c>
      <c r="B325" s="94">
        <v>3542</v>
      </c>
    </row>
    <row r="326" spans="1:2" x14ac:dyDescent="0.2">
      <c r="A326" s="90" t="s">
        <v>417</v>
      </c>
      <c r="B326" s="79">
        <v>206154</v>
      </c>
    </row>
    <row r="327" spans="1:2" x14ac:dyDescent="0.2">
      <c r="A327" s="1158" t="s">
        <v>106</v>
      </c>
      <c r="B327" s="79">
        <v>3528</v>
      </c>
    </row>
    <row r="328" spans="1:2" x14ac:dyDescent="0.2">
      <c r="A328" s="80" t="s">
        <v>419</v>
      </c>
      <c r="B328" s="80" t="s">
        <v>420</v>
      </c>
    </row>
    <row r="329" spans="1:2" x14ac:dyDescent="0.2">
      <c r="A329" s="1158" t="s">
        <v>107</v>
      </c>
      <c r="B329" s="94">
        <v>3534</v>
      </c>
    </row>
    <row r="330" spans="1:2" x14ac:dyDescent="0.2">
      <c r="A330" s="1158" t="s">
        <v>108</v>
      </c>
      <c r="B330" s="143">
        <v>3532</v>
      </c>
    </row>
    <row r="331" spans="1:2" x14ac:dyDescent="0.2">
      <c r="A331" s="107" t="s">
        <v>7</v>
      </c>
      <c r="B331" s="79">
        <v>1010</v>
      </c>
    </row>
    <row r="332" spans="1:2" x14ac:dyDescent="0.2">
      <c r="A332" s="107" t="s">
        <v>421</v>
      </c>
      <c r="B332" s="79" t="s">
        <v>423</v>
      </c>
    </row>
    <row r="333" spans="1:2" x14ac:dyDescent="0.2">
      <c r="A333" s="1158" t="s">
        <v>114</v>
      </c>
      <c r="B333" s="94">
        <v>4177</v>
      </c>
    </row>
    <row r="334" spans="1:2" x14ac:dyDescent="0.2">
      <c r="A334" s="79" t="s">
        <v>424</v>
      </c>
      <c r="B334" s="79" t="s">
        <v>426</v>
      </c>
    </row>
    <row r="335" spans="1:2" x14ac:dyDescent="0.2">
      <c r="A335" s="79" t="s">
        <v>427</v>
      </c>
      <c r="B335" s="79">
        <v>206103</v>
      </c>
    </row>
    <row r="336" spans="1:2" x14ac:dyDescent="0.2">
      <c r="A336" s="79" t="s">
        <v>428</v>
      </c>
      <c r="B336" s="79" t="s">
        <v>430</v>
      </c>
    </row>
    <row r="337" spans="1:2" x14ac:dyDescent="0.2">
      <c r="A337" s="79" t="s">
        <v>431</v>
      </c>
      <c r="B337" s="79" t="s">
        <v>433</v>
      </c>
    </row>
    <row r="338" spans="1:2" x14ac:dyDescent="0.2">
      <c r="A338" s="79" t="s">
        <v>434</v>
      </c>
      <c r="B338" s="79">
        <v>258420</v>
      </c>
    </row>
    <row r="339" spans="1:2" x14ac:dyDescent="0.2">
      <c r="A339" s="79" t="s">
        <v>436</v>
      </c>
      <c r="B339" s="79">
        <v>258424</v>
      </c>
    </row>
    <row r="340" spans="1:2" x14ac:dyDescent="0.2">
      <c r="A340" s="79" t="s">
        <v>438</v>
      </c>
      <c r="B340" s="79" t="s">
        <v>439</v>
      </c>
    </row>
    <row r="341" spans="1:2" x14ac:dyDescent="0.2">
      <c r="A341" s="142" t="s">
        <v>65</v>
      </c>
      <c r="B341" s="79">
        <v>3546</v>
      </c>
    </row>
    <row r="342" spans="1:2" x14ac:dyDescent="0.2">
      <c r="A342" s="140" t="s">
        <v>8</v>
      </c>
      <c r="B342" s="79">
        <v>1009</v>
      </c>
    </row>
    <row r="343" spans="1:2" x14ac:dyDescent="0.2">
      <c r="A343" s="142" t="s">
        <v>66</v>
      </c>
      <c r="B343" s="79">
        <v>3530</v>
      </c>
    </row>
    <row r="344" spans="1:2" x14ac:dyDescent="0.2">
      <c r="A344" s="1158" t="s">
        <v>74</v>
      </c>
      <c r="B344" s="94">
        <v>5412</v>
      </c>
    </row>
    <row r="345" spans="1:2" ht="15" x14ac:dyDescent="0.2">
      <c r="A345" s="146" t="s">
        <v>445</v>
      </c>
      <c r="B345" s="146" t="s">
        <v>446</v>
      </c>
    </row>
    <row r="346" spans="1:2" x14ac:dyDescent="0.2">
      <c r="A346" s="140" t="s">
        <v>440</v>
      </c>
      <c r="B346" s="144" t="s">
        <v>442</v>
      </c>
    </row>
    <row r="347" spans="1:2" x14ac:dyDescent="0.2">
      <c r="A347" s="79" t="s">
        <v>9</v>
      </c>
      <c r="B347" s="140">
        <v>1015</v>
      </c>
    </row>
    <row r="348" spans="1:2" x14ac:dyDescent="0.2">
      <c r="A348" s="141" t="s">
        <v>443</v>
      </c>
      <c r="B348" s="145" t="s">
        <v>444</v>
      </c>
    </row>
    <row r="349" spans="1:2" x14ac:dyDescent="0.2">
      <c r="A349" s="142" t="s">
        <v>447</v>
      </c>
      <c r="B349" s="79">
        <v>509204</v>
      </c>
    </row>
    <row r="350" spans="1:2" x14ac:dyDescent="0.2">
      <c r="A350" s="1206" t="s">
        <v>67</v>
      </c>
      <c r="B350" s="143">
        <v>2459</v>
      </c>
    </row>
    <row r="351" spans="1:2" x14ac:dyDescent="0.2">
      <c r="A351" s="79" t="s">
        <v>96</v>
      </c>
      <c r="B351" s="79">
        <v>2007</v>
      </c>
    </row>
  </sheetData>
  <sheetProtection password="EF5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8"/>
  <sheetViews>
    <sheetView zoomScale="75" zoomScaleNormal="75" zoomScalePageLayoutView="88" workbookViewId="0">
      <selection activeCell="B8" sqref="B8"/>
    </sheetView>
  </sheetViews>
  <sheetFormatPr defaultRowHeight="12.75" x14ac:dyDescent="0.2"/>
  <cols>
    <col min="1" max="1" width="71.140625" style="63" customWidth="1"/>
    <col min="2" max="2" width="30.28515625" style="63" customWidth="1"/>
    <col min="3" max="3" width="24.7109375" style="63" customWidth="1"/>
    <col min="4" max="4" width="32" style="72" customWidth="1"/>
    <col min="5" max="6" width="9.140625" style="63"/>
    <col min="7" max="7" width="13.140625" style="63" bestFit="1" customWidth="1"/>
    <col min="8" max="16384" width="9.140625" style="63"/>
  </cols>
  <sheetData>
    <row r="1" spans="1:4" ht="39" customHeight="1" thickBot="1" x14ac:dyDescent="0.3">
      <c r="A1" s="62"/>
      <c r="B1" s="73"/>
      <c r="C1" s="73"/>
      <c r="D1" s="74"/>
    </row>
    <row r="2" spans="1:4" ht="15.75" customHeight="1" thickBot="1" x14ac:dyDescent="0.25">
      <c r="A2" s="148" t="s">
        <v>602</v>
      </c>
      <c r="B2" s="64"/>
      <c r="C2" s="64"/>
      <c r="D2" s="65"/>
    </row>
    <row r="3" spans="1:4" ht="20.25" customHeight="1" thickBot="1" x14ac:dyDescent="0.25">
      <c r="A3" s="116" t="s">
        <v>516</v>
      </c>
      <c r="B3" s="69"/>
      <c r="C3" s="64"/>
      <c r="D3" s="67"/>
    </row>
    <row r="4" spans="1:4" x14ac:dyDescent="0.2">
      <c r="A4" s="66"/>
      <c r="B4" s="69"/>
      <c r="C4" s="75" t="s">
        <v>512</v>
      </c>
      <c r="D4" s="105"/>
    </row>
    <row r="5" spans="1:4" ht="12.75" customHeight="1" x14ac:dyDescent="0.2">
      <c r="A5" s="66"/>
      <c r="B5" s="69"/>
      <c r="C5" s="68" t="str">
        <f>VLOOKUP($A$3,'Special Schools List'!A:C,3,FALSE)</f>
        <v>All</v>
      </c>
      <c r="D5" s="105"/>
    </row>
    <row r="6" spans="1:4" x14ac:dyDescent="0.2">
      <c r="A6" s="70"/>
      <c r="B6" s="75"/>
      <c r="C6" s="64"/>
      <c r="D6" s="65"/>
    </row>
    <row r="7" spans="1:4" ht="25.5" customHeight="1" thickBot="1" x14ac:dyDescent="0.3">
      <c r="A7" s="1312" t="s">
        <v>1424</v>
      </c>
      <c r="B7" s="1313"/>
      <c r="C7" s="1313"/>
      <c r="D7" s="1314"/>
    </row>
    <row r="8" spans="1:4" ht="12.75" customHeight="1" thickBot="1" x14ac:dyDescent="0.25">
      <c r="A8" s="127"/>
      <c r="B8" s="76" t="s">
        <v>513</v>
      </c>
      <c r="C8" s="117" t="s">
        <v>514</v>
      </c>
      <c r="D8" s="111" t="s">
        <v>469</v>
      </c>
    </row>
    <row r="9" spans="1:4" s="77" customFormat="1" ht="50.1" customHeight="1" thickBot="1" x14ac:dyDescent="0.25">
      <c r="A9" s="120" t="s">
        <v>564</v>
      </c>
      <c r="B9" s="118">
        <f>SUMIF('Special Schools 2015-16'!A:A,C5,'Special Schools 2015-16'!BY:BY)</f>
        <v>510</v>
      </c>
      <c r="C9" s="119">
        <v>10000</v>
      </c>
      <c r="D9" s="112">
        <f>C9*B9</f>
        <v>5100000</v>
      </c>
    </row>
    <row r="10" spans="1:4" ht="12.75" customHeight="1" thickBot="1" x14ac:dyDescent="0.25">
      <c r="A10" s="127"/>
      <c r="B10" s="113" t="s">
        <v>513</v>
      </c>
      <c r="C10" s="114" t="s">
        <v>514</v>
      </c>
      <c r="D10" s="111" t="s">
        <v>469</v>
      </c>
    </row>
    <row r="11" spans="1:4" s="77" customFormat="1" ht="50.1" customHeight="1" thickBot="1" x14ac:dyDescent="0.25">
      <c r="A11" s="121" t="s">
        <v>518</v>
      </c>
      <c r="B11" s="1253">
        <f>SUMIF('Special Schools 2015-16'!A:A,C5,'Special Schools 2015-16'!BZ:BZ)</f>
        <v>79</v>
      </c>
      <c r="C11" s="1254">
        <v>10000</v>
      </c>
      <c r="D11" s="1250">
        <f>C11*B11</f>
        <v>790000</v>
      </c>
    </row>
    <row r="12" spans="1:4" s="77" customFormat="1" ht="12.75" customHeight="1" thickBot="1" x14ac:dyDescent="0.25">
      <c r="A12" s="126"/>
      <c r="B12" s="113" t="s">
        <v>513</v>
      </c>
      <c r="C12" s="114"/>
      <c r="D12" s="111" t="s">
        <v>469</v>
      </c>
    </row>
    <row r="13" spans="1:4" s="77" customFormat="1" ht="50.1" customHeight="1" thickBot="1" x14ac:dyDescent="0.25">
      <c r="A13" s="122" t="s">
        <v>1420</v>
      </c>
      <c r="B13" s="125">
        <f>SUMIF('Special Schools 2015-16'!A:A,C5,'Special Schools 2015-16'!CD:CD)+SUMIF('Special Schools 2015-16'!A:A,C5,'Special Schools 2015-16'!CG:CG)</f>
        <v>96</v>
      </c>
      <c r="C13" s="1251">
        <v>8000</v>
      </c>
      <c r="D13" s="1252">
        <f>B13*C13/12*5</f>
        <v>320000</v>
      </c>
    </row>
    <row r="14" spans="1:4" s="77" customFormat="1" ht="50.1" customHeight="1" thickBot="1" x14ac:dyDescent="0.25">
      <c r="A14" s="122" t="s">
        <v>1421</v>
      </c>
      <c r="B14" s="118">
        <f>SUMIF('Special Schools 2015-16'!A:A,C5,'Special Schools 2015-16'!CD:CD)+SUMIF('Special Schools 2015-16'!A:A,C5,'Special Schools 2015-16'!CG:CG)</f>
        <v>96</v>
      </c>
      <c r="C14" s="115">
        <v>10000</v>
      </c>
      <c r="D14" s="422">
        <f>B14*C14/12*7</f>
        <v>560000</v>
      </c>
    </row>
    <row r="15" spans="1:4" s="77" customFormat="1" ht="12.75" customHeight="1" thickBot="1" x14ac:dyDescent="0.25">
      <c r="A15" s="126"/>
      <c r="B15" s="113"/>
      <c r="C15" s="114"/>
      <c r="D15" s="111" t="s">
        <v>469</v>
      </c>
    </row>
    <row r="16" spans="1:4" s="77" customFormat="1" ht="50.1" customHeight="1" thickBot="1" x14ac:dyDescent="0.25">
      <c r="A16" s="123" t="s">
        <v>604</v>
      </c>
      <c r="B16" s="1310" t="s">
        <v>519</v>
      </c>
      <c r="C16" s="1311"/>
      <c r="D16" s="1246">
        <f>SUMIF('Special Schools 2015-16'!$A:$A,$C$5,'Special Schools 2015-16'!$CA:$CA)</f>
        <v>7239509.1636897568</v>
      </c>
    </row>
    <row r="17" spans="1:7" s="77" customFormat="1" ht="12.75" customHeight="1" thickBot="1" x14ac:dyDescent="0.25">
      <c r="A17" s="126"/>
      <c r="B17" s="113"/>
      <c r="C17" s="114"/>
      <c r="D17" s="111" t="s">
        <v>469</v>
      </c>
    </row>
    <row r="18" spans="1:7" s="77" customFormat="1" ht="50.1" customHeight="1" thickBot="1" x14ac:dyDescent="0.25">
      <c r="A18" s="123" t="s">
        <v>605</v>
      </c>
      <c r="B18" s="1310" t="s">
        <v>519</v>
      </c>
      <c r="C18" s="1311"/>
      <c r="D18" s="1246">
        <f>SUMIF('Special Schools 2015-16'!$A:$A,$C$5,'Special Schools 2015-16'!$CB:$CB)</f>
        <v>974310</v>
      </c>
    </row>
    <row r="19" spans="1:7" ht="12.75" customHeight="1" thickBot="1" x14ac:dyDescent="0.25">
      <c r="A19" s="127"/>
      <c r="B19" s="113"/>
      <c r="C19" s="114"/>
      <c r="D19" s="111" t="s">
        <v>469</v>
      </c>
    </row>
    <row r="20" spans="1:7" s="77" customFormat="1" ht="50.1" customHeight="1" thickBot="1" x14ac:dyDescent="0.25">
      <c r="A20" s="123" t="s">
        <v>515</v>
      </c>
      <c r="B20" s="1310" t="s">
        <v>519</v>
      </c>
      <c r="C20" s="1311"/>
      <c r="D20" s="1246">
        <f>SUMIF('Special Schools 2015-16'!$A:$A,$C$5,'Special Schools 2015-16'!$BR:$BR)</f>
        <v>376295</v>
      </c>
    </row>
    <row r="21" spans="1:7" s="77" customFormat="1" ht="12.75" customHeight="1" thickBot="1" x14ac:dyDescent="0.25">
      <c r="A21" s="126"/>
      <c r="B21" s="113"/>
      <c r="C21" s="114"/>
      <c r="D21" s="111" t="s">
        <v>469</v>
      </c>
    </row>
    <row r="22" spans="1:7" s="77" customFormat="1" ht="50.1" customHeight="1" thickBot="1" x14ac:dyDescent="0.3">
      <c r="A22" s="123" t="s">
        <v>169</v>
      </c>
      <c r="B22" s="1315"/>
      <c r="C22" s="1316"/>
      <c r="D22" s="1246">
        <f>SUMIF('Special Schools 2015-16'!$A:$A,$C$5,'Special Schools 2015-16'!$BS:$BS)</f>
        <v>83713</v>
      </c>
    </row>
    <row r="23" spans="1:7" ht="15.75" thickBot="1" x14ac:dyDescent="0.25">
      <c r="A23" s="127"/>
      <c r="B23" s="128"/>
      <c r="C23" s="129"/>
      <c r="D23" s="111" t="s">
        <v>469</v>
      </c>
    </row>
    <row r="24" spans="1:7" ht="60" customHeight="1" thickBot="1" x14ac:dyDescent="0.3">
      <c r="A24" s="124" t="s">
        <v>603</v>
      </c>
      <c r="B24" s="109"/>
      <c r="C24" s="110"/>
      <c r="D24" s="108">
        <f>D9+D11+D13+D14+D16+D18+D20+D22</f>
        <v>15443827.163689757</v>
      </c>
    </row>
    <row r="25" spans="1:7" ht="15.75" thickBot="1" x14ac:dyDescent="0.25">
      <c r="A25" s="127"/>
      <c r="B25" s="113" t="s">
        <v>606</v>
      </c>
      <c r="C25" s="114"/>
      <c r="D25" s="111" t="s">
        <v>469</v>
      </c>
    </row>
    <row r="26" spans="1:7" ht="60" customHeight="1" thickBot="1" x14ac:dyDescent="0.25">
      <c r="A26" s="150" t="s">
        <v>600</v>
      </c>
      <c r="B26" s="1218">
        <f>SUMIF('Special Schools 2015-16'!A:A,C5,'Special Schools 2015-16'!D:D)</f>
        <v>14</v>
      </c>
      <c r="C26" s="149" t="s">
        <v>519</v>
      </c>
      <c r="D26" s="1219">
        <f>SUMIF('Special Schools 2015-16'!A:A,C5,'Special Schools 2015-16'!BU:BU)</f>
        <v>117402</v>
      </c>
    </row>
    <row r="27" spans="1:7" ht="15.75" thickBot="1" x14ac:dyDescent="0.25">
      <c r="A27" s="151"/>
      <c r="B27" s="152"/>
      <c r="C27" s="117"/>
      <c r="D27" s="153"/>
    </row>
    <row r="28" spans="1:7" ht="15.75" thickBot="1" x14ac:dyDescent="0.25">
      <c r="A28" s="1307" t="s">
        <v>598</v>
      </c>
      <c r="B28" s="1308"/>
      <c r="C28" s="1308"/>
      <c r="D28" s="1309"/>
      <c r="E28" s="154"/>
      <c r="F28" s="154"/>
      <c r="G28" s="154"/>
    </row>
  </sheetData>
  <sheetProtection password="EF5C" sheet="1" objects="1" scenarios="1"/>
  <mergeCells count="6">
    <mergeCell ref="A28:D28"/>
    <mergeCell ref="B20:C20"/>
    <mergeCell ref="A7:D7"/>
    <mergeCell ref="B18:C18"/>
    <mergeCell ref="B22:C22"/>
    <mergeCell ref="B16:C16"/>
  </mergeCells>
  <printOptions horizontalCentered="1"/>
  <pageMargins left="0.25" right="0.25" top="0.75" bottom="0.75" header="0.3" footer="0.3"/>
  <pageSetup paperSize="9" scale="63" orientation="portrait" r:id="rId1"/>
  <headerFooter alignWithMargins="0">
    <oddHeader>&amp;C&amp;A</oddHeader>
    <oddFooter>&amp;Z&amp;F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'Special Schools List'!$A:$A</xm:f>
          </x14:formula1>
          <xm:sqref>A3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347"/>
  <sheetViews>
    <sheetView workbookViewId="0">
      <pane xSplit="2" ySplit="6" topLeftCell="M7" activePane="bottomRight" state="frozen"/>
      <selection activeCell="C118" sqref="C118"/>
      <selection pane="topRight" activeCell="C118" sqref="C118"/>
      <selection pane="bottomLeft" activeCell="C118" sqref="C118"/>
      <selection pane="bottomRight" sqref="A1:Y1048576"/>
    </sheetView>
  </sheetViews>
  <sheetFormatPr defaultRowHeight="12.75" x14ac:dyDescent="0.2"/>
  <cols>
    <col min="1" max="1" width="52.42578125" style="22" hidden="1" customWidth="1"/>
    <col min="2" max="2" width="17.140625" style="22" hidden="1" customWidth="1"/>
    <col min="3" max="3" width="13" style="14" hidden="1" customWidth="1"/>
    <col min="4" max="25" width="0" style="22" hidden="1" customWidth="1"/>
    <col min="26" max="16384" width="9.140625" style="22"/>
  </cols>
  <sheetData>
    <row r="1" spans="1:3" x14ac:dyDescent="0.2">
      <c r="A1" s="24" t="s">
        <v>1038</v>
      </c>
      <c r="B1" s="1000"/>
    </row>
    <row r="2" spans="1:3" x14ac:dyDescent="0.2">
      <c r="A2" s="24" t="s">
        <v>77</v>
      </c>
      <c r="B2" s="1000"/>
    </row>
    <row r="3" spans="1:3" x14ac:dyDescent="0.2">
      <c r="A3" s="24" t="s">
        <v>78</v>
      </c>
      <c r="B3" s="1000"/>
    </row>
    <row r="4" spans="1:3" x14ac:dyDescent="0.2">
      <c r="A4" s="24" t="s">
        <v>79</v>
      </c>
      <c r="B4" s="1000"/>
    </row>
    <row r="5" spans="1:3" x14ac:dyDescent="0.2">
      <c r="A5" s="24" t="s">
        <v>80</v>
      </c>
      <c r="B5" s="1000"/>
    </row>
    <row r="6" spans="1:3" ht="25.5" x14ac:dyDescent="0.2">
      <c r="A6" s="1022" t="s">
        <v>118</v>
      </c>
      <c r="B6" s="1024" t="s">
        <v>81</v>
      </c>
      <c r="C6" s="1052" t="s">
        <v>1094</v>
      </c>
    </row>
    <row r="7" spans="1:3" x14ac:dyDescent="0.2">
      <c r="A7" s="25" t="s">
        <v>10</v>
      </c>
      <c r="B7" s="26">
        <v>2012</v>
      </c>
      <c r="C7" s="1053">
        <v>0</v>
      </c>
    </row>
    <row r="8" spans="1:3" x14ac:dyDescent="0.2">
      <c r="A8" s="25" t="s">
        <v>11</v>
      </c>
      <c r="B8" s="26">
        <v>2443</v>
      </c>
      <c r="C8" s="1053">
        <v>0</v>
      </c>
    </row>
    <row r="9" spans="1:3" x14ac:dyDescent="0.2">
      <c r="A9" s="25" t="s">
        <v>94</v>
      </c>
      <c r="B9" s="26">
        <v>2442</v>
      </c>
      <c r="C9" s="1053">
        <v>0</v>
      </c>
    </row>
    <row r="10" spans="1:3" x14ac:dyDescent="0.2">
      <c r="A10" s="25" t="s">
        <v>13</v>
      </c>
      <c r="B10" s="26">
        <v>2629</v>
      </c>
      <c r="C10" s="1053">
        <v>0</v>
      </c>
    </row>
    <row r="11" spans="1:3" x14ac:dyDescent="0.2">
      <c r="A11" s="25" t="s">
        <v>14</v>
      </c>
      <c r="B11" s="26">
        <v>2509</v>
      </c>
      <c r="C11" s="1053">
        <v>0</v>
      </c>
    </row>
    <row r="12" spans="1:3" x14ac:dyDescent="0.2">
      <c r="A12" s="25" t="s">
        <v>15</v>
      </c>
      <c r="B12" s="26">
        <v>2005</v>
      </c>
      <c r="C12" s="1053">
        <v>0</v>
      </c>
    </row>
    <row r="13" spans="1:3" x14ac:dyDescent="0.2">
      <c r="A13" s="25" t="s">
        <v>16</v>
      </c>
      <c r="B13" s="26">
        <v>2464</v>
      </c>
      <c r="C13" s="1053">
        <v>0</v>
      </c>
    </row>
    <row r="14" spans="1:3" x14ac:dyDescent="0.2">
      <c r="A14" s="25" t="s">
        <v>17</v>
      </c>
      <c r="B14" s="26">
        <v>2004</v>
      </c>
      <c r="C14" s="1053">
        <v>0</v>
      </c>
    </row>
    <row r="15" spans="1:3" x14ac:dyDescent="0.2">
      <c r="A15" s="25" t="s">
        <v>18</v>
      </c>
      <c r="B15" s="26">
        <v>2405</v>
      </c>
      <c r="C15" s="1053">
        <v>0</v>
      </c>
    </row>
    <row r="16" spans="1:3" x14ac:dyDescent="0.2">
      <c r="A16" s="25" t="s">
        <v>95</v>
      </c>
      <c r="B16" s="26">
        <v>2011</v>
      </c>
      <c r="C16" s="1053">
        <v>0</v>
      </c>
    </row>
    <row r="17" spans="1:3" x14ac:dyDescent="0.2">
      <c r="A17" s="25" t="s">
        <v>20</v>
      </c>
      <c r="B17" s="26">
        <v>5201</v>
      </c>
      <c r="C17" s="1053">
        <v>0</v>
      </c>
    </row>
    <row r="18" spans="1:3" x14ac:dyDescent="0.2">
      <c r="A18" s="25" t="s">
        <v>96</v>
      </c>
      <c r="B18" s="26">
        <v>2007</v>
      </c>
      <c r="C18" s="1053">
        <v>0</v>
      </c>
    </row>
    <row r="19" spans="1:3" x14ac:dyDescent="0.2">
      <c r="A19" s="25" t="s">
        <v>21</v>
      </c>
      <c r="B19" s="26">
        <v>2433</v>
      </c>
      <c r="C19" s="1053">
        <v>0</v>
      </c>
    </row>
    <row r="20" spans="1:3" x14ac:dyDescent="0.2">
      <c r="A20" s="25" t="s">
        <v>22</v>
      </c>
      <c r="B20" s="26">
        <v>2432</v>
      </c>
      <c r="C20" s="1053">
        <v>0</v>
      </c>
    </row>
    <row r="21" spans="1:3" x14ac:dyDescent="0.2">
      <c r="A21" s="25" t="s">
        <v>199</v>
      </c>
      <c r="B21" s="26">
        <v>2447</v>
      </c>
      <c r="C21" s="1053">
        <v>0</v>
      </c>
    </row>
    <row r="22" spans="1:3" x14ac:dyDescent="0.2">
      <c r="A22" s="25" t="s">
        <v>23</v>
      </c>
      <c r="B22" s="26">
        <v>2512</v>
      </c>
      <c r="C22" s="1053">
        <v>0</v>
      </c>
    </row>
    <row r="23" spans="1:3" x14ac:dyDescent="0.2">
      <c r="A23" s="25" t="s">
        <v>24</v>
      </c>
      <c r="B23" s="26">
        <v>2456</v>
      </c>
      <c r="C23" s="1053">
        <v>0</v>
      </c>
    </row>
    <row r="24" spans="1:3" x14ac:dyDescent="0.2">
      <c r="A24" s="25" t="s">
        <v>25</v>
      </c>
      <c r="B24" s="26">
        <v>2449</v>
      </c>
      <c r="C24" s="1053">
        <v>0</v>
      </c>
    </row>
    <row r="25" spans="1:3" x14ac:dyDescent="0.2">
      <c r="A25" s="25" t="s">
        <v>26</v>
      </c>
      <c r="B25" s="26">
        <v>2448</v>
      </c>
      <c r="C25" s="1053">
        <v>0</v>
      </c>
    </row>
    <row r="26" spans="1:3" x14ac:dyDescent="0.2">
      <c r="A26" s="25" t="s">
        <v>126</v>
      </c>
      <c r="B26" s="26">
        <v>2467</v>
      </c>
      <c r="C26" s="1053">
        <v>0</v>
      </c>
    </row>
    <row r="27" spans="1:3" x14ac:dyDescent="0.2">
      <c r="A27" s="25" t="s">
        <v>28</v>
      </c>
      <c r="B27" s="26">
        <v>2455</v>
      </c>
      <c r="C27" s="1053">
        <v>0</v>
      </c>
    </row>
    <row r="28" spans="1:3" x14ac:dyDescent="0.2">
      <c r="A28" s="25" t="s">
        <v>29</v>
      </c>
      <c r="B28" s="26">
        <v>5203</v>
      </c>
      <c r="C28" s="1053">
        <v>0</v>
      </c>
    </row>
    <row r="29" spans="1:3" x14ac:dyDescent="0.2">
      <c r="A29" s="25" t="s">
        <v>30</v>
      </c>
      <c r="B29" s="26">
        <v>2451</v>
      </c>
      <c r="C29" s="1053">
        <v>0</v>
      </c>
    </row>
    <row r="30" spans="1:3" x14ac:dyDescent="0.2">
      <c r="A30" s="25" t="s">
        <v>31</v>
      </c>
      <c r="B30" s="26">
        <v>2409</v>
      </c>
      <c r="C30" s="1053">
        <v>0</v>
      </c>
    </row>
    <row r="31" spans="1:3" x14ac:dyDescent="0.2">
      <c r="A31" s="25" t="s">
        <v>98</v>
      </c>
      <c r="B31" s="26">
        <v>3158</v>
      </c>
      <c r="C31" s="1053">
        <v>0</v>
      </c>
    </row>
    <row r="32" spans="1:3" x14ac:dyDescent="0.2">
      <c r="A32" s="25" t="s">
        <v>32</v>
      </c>
      <c r="B32" s="26">
        <v>2619</v>
      </c>
      <c r="C32" s="1053">
        <v>0</v>
      </c>
    </row>
    <row r="33" spans="1:3" x14ac:dyDescent="0.2">
      <c r="A33" s="25" t="s">
        <v>33</v>
      </c>
      <c r="B33" s="26">
        <v>2518</v>
      </c>
      <c r="C33" s="1053">
        <v>0</v>
      </c>
    </row>
    <row r="34" spans="1:3" x14ac:dyDescent="0.2">
      <c r="A34" s="25" t="s">
        <v>34</v>
      </c>
      <c r="B34" s="26">
        <v>2457</v>
      </c>
      <c r="C34" s="1053">
        <v>0</v>
      </c>
    </row>
    <row r="35" spans="1:3" x14ac:dyDescent="0.2">
      <c r="A35" s="25" t="s">
        <v>99</v>
      </c>
      <c r="B35" s="26">
        <v>2010</v>
      </c>
      <c r="C35" s="1053">
        <v>0</v>
      </c>
    </row>
    <row r="36" spans="1:3" x14ac:dyDescent="0.2">
      <c r="A36" s="25" t="s">
        <v>35</v>
      </c>
      <c r="B36" s="26">
        <v>2002</v>
      </c>
      <c r="C36" s="1053">
        <v>0</v>
      </c>
    </row>
    <row r="37" spans="1:3" x14ac:dyDescent="0.2">
      <c r="A37" s="25" t="s">
        <v>36</v>
      </c>
      <c r="B37" s="26">
        <v>3544</v>
      </c>
      <c r="C37" s="1053">
        <v>129503</v>
      </c>
    </row>
    <row r="38" spans="1:3" x14ac:dyDescent="0.2">
      <c r="A38" s="25" t="s">
        <v>100</v>
      </c>
      <c r="B38" s="26">
        <v>2006</v>
      </c>
      <c r="C38" s="1053">
        <v>0</v>
      </c>
    </row>
    <row r="39" spans="1:3" x14ac:dyDescent="0.2">
      <c r="A39" s="25" t="s">
        <v>37</v>
      </c>
      <c r="B39" s="26">
        <v>2434</v>
      </c>
      <c r="C39" s="1053">
        <v>139469</v>
      </c>
    </row>
    <row r="40" spans="1:3" x14ac:dyDescent="0.2">
      <c r="A40" s="25" t="s">
        <v>38</v>
      </c>
      <c r="B40" s="26">
        <v>2522</v>
      </c>
      <c r="C40" s="1053">
        <v>0</v>
      </c>
    </row>
    <row r="41" spans="1:3" x14ac:dyDescent="0.2">
      <c r="A41" s="25" t="s">
        <v>39</v>
      </c>
      <c r="B41" s="26">
        <v>2436</v>
      </c>
      <c r="C41" s="1053">
        <v>0</v>
      </c>
    </row>
    <row r="42" spans="1:3" x14ac:dyDescent="0.2">
      <c r="A42" s="25" t="s">
        <v>40</v>
      </c>
      <c r="B42" s="26">
        <v>2452</v>
      </c>
      <c r="C42" s="1053">
        <v>0</v>
      </c>
    </row>
    <row r="43" spans="1:3" x14ac:dyDescent="0.2">
      <c r="A43" s="25" t="s">
        <v>41</v>
      </c>
      <c r="B43" s="26">
        <v>2627</v>
      </c>
      <c r="C43" s="1053">
        <v>0</v>
      </c>
    </row>
    <row r="44" spans="1:3" x14ac:dyDescent="0.2">
      <c r="A44" s="25" t="s">
        <v>42</v>
      </c>
      <c r="B44" s="26">
        <v>2009</v>
      </c>
      <c r="C44" s="1053">
        <v>0</v>
      </c>
    </row>
    <row r="45" spans="1:3" x14ac:dyDescent="0.2">
      <c r="A45" s="25" t="s">
        <v>101</v>
      </c>
      <c r="B45" s="26">
        <v>2473</v>
      </c>
      <c r="C45" s="1053">
        <v>0</v>
      </c>
    </row>
    <row r="46" spans="1:3" x14ac:dyDescent="0.2">
      <c r="A46" s="25" t="s">
        <v>44</v>
      </c>
      <c r="B46" s="26">
        <v>2471</v>
      </c>
      <c r="C46" s="1053">
        <v>0</v>
      </c>
    </row>
    <row r="47" spans="1:3" x14ac:dyDescent="0.2">
      <c r="A47" s="25" t="s">
        <v>43</v>
      </c>
      <c r="B47" s="26">
        <v>2420</v>
      </c>
      <c r="C47" s="1053">
        <v>0</v>
      </c>
    </row>
    <row r="48" spans="1:3" x14ac:dyDescent="0.2">
      <c r="A48" s="25" t="s">
        <v>45</v>
      </c>
      <c r="B48" s="26">
        <v>2003</v>
      </c>
      <c r="C48" s="1053">
        <v>0</v>
      </c>
    </row>
    <row r="49" spans="1:3" x14ac:dyDescent="0.2">
      <c r="A49" s="25" t="s">
        <v>46</v>
      </c>
      <c r="B49" s="26">
        <v>2423</v>
      </c>
      <c r="C49" s="1053">
        <v>0</v>
      </c>
    </row>
    <row r="50" spans="1:3" x14ac:dyDescent="0.2">
      <c r="A50" s="25" t="s">
        <v>47</v>
      </c>
      <c r="B50" s="26">
        <v>2424</v>
      </c>
      <c r="C50" s="1053">
        <v>0</v>
      </c>
    </row>
    <row r="51" spans="1:3" x14ac:dyDescent="0.2">
      <c r="A51" s="25" t="s">
        <v>48</v>
      </c>
      <c r="B51" s="26">
        <v>2439</v>
      </c>
      <c r="C51" s="1053">
        <v>0</v>
      </c>
    </row>
    <row r="52" spans="1:3" x14ac:dyDescent="0.2">
      <c r="A52" s="25" t="s">
        <v>49</v>
      </c>
      <c r="B52" s="26">
        <v>2440</v>
      </c>
      <c r="C52" s="1053">
        <v>0</v>
      </c>
    </row>
    <row r="53" spans="1:3" x14ac:dyDescent="0.2">
      <c r="A53" s="25" t="s">
        <v>102</v>
      </c>
      <c r="B53" s="26">
        <v>2462</v>
      </c>
      <c r="C53" s="1053">
        <v>0</v>
      </c>
    </row>
    <row r="54" spans="1:3" x14ac:dyDescent="0.2">
      <c r="A54" s="25" t="s">
        <v>50</v>
      </c>
      <c r="B54" s="26">
        <v>2463</v>
      </c>
      <c r="C54" s="1053">
        <v>0</v>
      </c>
    </row>
    <row r="55" spans="1:3" x14ac:dyDescent="0.2">
      <c r="A55" s="25" t="s">
        <v>51</v>
      </c>
      <c r="B55" s="26">
        <v>2505</v>
      </c>
      <c r="C55" s="1053">
        <v>0</v>
      </c>
    </row>
    <row r="56" spans="1:3" x14ac:dyDescent="0.2">
      <c r="A56" s="25" t="s">
        <v>52</v>
      </c>
      <c r="B56" s="26">
        <v>2000</v>
      </c>
      <c r="C56" s="1053">
        <v>0</v>
      </c>
    </row>
    <row r="57" spans="1:3" x14ac:dyDescent="0.2">
      <c r="A57" s="25" t="s">
        <v>53</v>
      </c>
      <c r="B57" s="26">
        <v>2458</v>
      </c>
      <c r="C57" s="1053">
        <v>0</v>
      </c>
    </row>
    <row r="58" spans="1:3" x14ac:dyDescent="0.2">
      <c r="A58" s="25" t="s">
        <v>54</v>
      </c>
      <c r="B58" s="26">
        <v>2001</v>
      </c>
      <c r="C58" s="1053">
        <v>0</v>
      </c>
    </row>
    <row r="59" spans="1:3" x14ac:dyDescent="0.2">
      <c r="A59" s="25" t="s">
        <v>55</v>
      </c>
      <c r="B59" s="26">
        <v>2429</v>
      </c>
      <c r="C59" s="1053">
        <v>0</v>
      </c>
    </row>
    <row r="60" spans="1:3" x14ac:dyDescent="0.2">
      <c r="A60" s="25" t="s">
        <v>56</v>
      </c>
      <c r="B60" s="26">
        <v>2444</v>
      </c>
      <c r="C60" s="1053">
        <v>0</v>
      </c>
    </row>
    <row r="61" spans="1:3" x14ac:dyDescent="0.2">
      <c r="A61" s="25" t="s">
        <v>57</v>
      </c>
      <c r="B61" s="26">
        <v>5209</v>
      </c>
      <c r="C61" s="1053">
        <v>0</v>
      </c>
    </row>
    <row r="62" spans="1:3" x14ac:dyDescent="0.2">
      <c r="A62" s="25" t="s">
        <v>58</v>
      </c>
      <c r="B62" s="26">
        <v>2469</v>
      </c>
      <c r="C62" s="1053">
        <v>0</v>
      </c>
    </row>
    <row r="63" spans="1:3" x14ac:dyDescent="0.2">
      <c r="A63" s="22" t="s">
        <v>451</v>
      </c>
      <c r="B63" s="26">
        <v>2430</v>
      </c>
      <c r="C63" s="1053">
        <v>22766</v>
      </c>
    </row>
    <row r="64" spans="1:3" x14ac:dyDescent="0.2">
      <c r="A64" s="25" t="s">
        <v>59</v>
      </c>
      <c r="B64" s="26">
        <v>2466</v>
      </c>
      <c r="C64" s="1053">
        <v>0</v>
      </c>
    </row>
    <row r="65" spans="1:3" x14ac:dyDescent="0.2">
      <c r="A65" s="25" t="s">
        <v>60</v>
      </c>
      <c r="B65" s="26">
        <v>3543</v>
      </c>
      <c r="C65" s="1053">
        <v>0</v>
      </c>
    </row>
    <row r="66" spans="1:3" x14ac:dyDescent="0.2">
      <c r="A66" s="25" t="s">
        <v>62</v>
      </c>
      <c r="B66" s="26">
        <v>3531</v>
      </c>
      <c r="C66" s="1053">
        <v>0</v>
      </c>
    </row>
    <row r="67" spans="1:3" x14ac:dyDescent="0.2">
      <c r="A67" s="25" t="s">
        <v>103</v>
      </c>
      <c r="B67" s="26">
        <v>3526</v>
      </c>
      <c r="C67" s="1053">
        <v>0</v>
      </c>
    </row>
    <row r="68" spans="1:3" x14ac:dyDescent="0.2">
      <c r="A68" s="25" t="s">
        <v>104</v>
      </c>
      <c r="B68" s="26">
        <v>3535</v>
      </c>
      <c r="C68" s="1053">
        <v>0</v>
      </c>
    </row>
    <row r="69" spans="1:3" x14ac:dyDescent="0.2">
      <c r="A69" s="1029" t="s">
        <v>64</v>
      </c>
      <c r="B69" s="26">
        <v>2008</v>
      </c>
      <c r="C69" s="1053">
        <v>0</v>
      </c>
    </row>
    <row r="70" spans="1:3" x14ac:dyDescent="0.2">
      <c r="A70" s="25" t="s">
        <v>105</v>
      </c>
      <c r="B70" s="26">
        <v>3542</v>
      </c>
      <c r="C70" s="1053">
        <v>0</v>
      </c>
    </row>
    <row r="71" spans="1:3" x14ac:dyDescent="0.2">
      <c r="A71" s="25" t="s">
        <v>106</v>
      </c>
      <c r="B71" s="26">
        <v>3528</v>
      </c>
      <c r="C71" s="1053">
        <v>0</v>
      </c>
    </row>
    <row r="72" spans="1:3" x14ac:dyDescent="0.2">
      <c r="A72" s="25" t="s">
        <v>107</v>
      </c>
      <c r="B72" s="26">
        <v>3534</v>
      </c>
      <c r="C72" s="1053">
        <v>0</v>
      </c>
    </row>
    <row r="73" spans="1:3" x14ac:dyDescent="0.2">
      <c r="A73" s="25" t="s">
        <v>108</v>
      </c>
      <c r="B73" s="26">
        <v>3532</v>
      </c>
      <c r="C73" s="1053">
        <v>0</v>
      </c>
    </row>
    <row r="74" spans="1:3" x14ac:dyDescent="0.2">
      <c r="A74" s="25" t="s">
        <v>65</v>
      </c>
      <c r="B74" s="26">
        <v>3546</v>
      </c>
      <c r="C74" s="1053">
        <v>0</v>
      </c>
    </row>
    <row r="75" spans="1:3" x14ac:dyDescent="0.2">
      <c r="A75" s="25" t="s">
        <v>109</v>
      </c>
      <c r="B75" s="26">
        <v>3530</v>
      </c>
      <c r="C75" s="1053">
        <v>0</v>
      </c>
    </row>
    <row r="76" spans="1:3" x14ac:dyDescent="0.2">
      <c r="A76" s="25" t="s">
        <v>67</v>
      </c>
      <c r="B76" s="26">
        <v>2459</v>
      </c>
      <c r="C76" s="1053">
        <v>0</v>
      </c>
    </row>
    <row r="77" spans="1:3" x14ac:dyDescent="0.2">
      <c r="A77" s="9" t="s">
        <v>912</v>
      </c>
      <c r="B77" s="10">
        <v>4000</v>
      </c>
      <c r="C77" s="1053">
        <v>0</v>
      </c>
    </row>
    <row r="78" spans="1:3" x14ac:dyDescent="0.2">
      <c r="A78" s="25"/>
      <c r="B78" s="26"/>
      <c r="C78" s="1053"/>
    </row>
    <row r="79" spans="1:3" x14ac:dyDescent="0.2">
      <c r="A79" s="24" t="s">
        <v>110</v>
      </c>
      <c r="B79" s="24" t="s">
        <v>110</v>
      </c>
      <c r="C79" s="1053">
        <f>SUM(C7:C78)</f>
        <v>291738</v>
      </c>
    </row>
    <row r="80" spans="1:3" x14ac:dyDescent="0.2">
      <c r="A80" s="25"/>
      <c r="B80" s="26"/>
      <c r="C80" s="1053"/>
    </row>
    <row r="81" spans="1:3" x14ac:dyDescent="0.2">
      <c r="A81" s="25" t="s">
        <v>75</v>
      </c>
      <c r="B81" s="26">
        <v>5402</v>
      </c>
      <c r="C81" s="1053">
        <v>0</v>
      </c>
    </row>
    <row r="82" spans="1:3" x14ac:dyDescent="0.2">
      <c r="A82" s="25" t="s">
        <v>68</v>
      </c>
      <c r="B82" s="26">
        <v>4608</v>
      </c>
      <c r="C82" s="1053">
        <v>21184</v>
      </c>
    </row>
    <row r="83" spans="1:3" x14ac:dyDescent="0.2">
      <c r="A83" s="25" t="s">
        <v>111</v>
      </c>
      <c r="B83" s="26">
        <v>4178</v>
      </c>
      <c r="C83" s="1053">
        <v>0</v>
      </c>
    </row>
    <row r="84" spans="1:3" x14ac:dyDescent="0.2">
      <c r="A84" s="25" t="s">
        <v>69</v>
      </c>
      <c r="B84" s="26">
        <v>4181</v>
      </c>
      <c r="C84" s="1053">
        <v>0</v>
      </c>
    </row>
    <row r="85" spans="1:3" x14ac:dyDescent="0.2">
      <c r="A85" s="25" t="s">
        <v>70</v>
      </c>
      <c r="B85" s="26">
        <v>4182</v>
      </c>
      <c r="C85" s="1053">
        <v>0</v>
      </c>
    </row>
    <row r="86" spans="1:3" x14ac:dyDescent="0.2">
      <c r="A86" s="25" t="s">
        <v>71</v>
      </c>
      <c r="B86" s="39">
        <v>4001</v>
      </c>
      <c r="C86" s="1053">
        <v>324718</v>
      </c>
    </row>
    <row r="87" spans="1:3" x14ac:dyDescent="0.2">
      <c r="A87" s="25" t="s">
        <v>112</v>
      </c>
      <c r="B87" s="26">
        <v>5406</v>
      </c>
      <c r="C87" s="1053">
        <v>0</v>
      </c>
    </row>
    <row r="88" spans="1:3" x14ac:dyDescent="0.2">
      <c r="A88" s="25" t="s">
        <v>113</v>
      </c>
      <c r="B88" s="26">
        <v>5407</v>
      </c>
      <c r="C88" s="1053">
        <v>395815</v>
      </c>
    </row>
    <row r="89" spans="1:3" x14ac:dyDescent="0.2">
      <c r="A89" s="25" t="s">
        <v>72</v>
      </c>
      <c r="B89" s="26">
        <v>4607</v>
      </c>
      <c r="C89" s="1053">
        <v>0</v>
      </c>
    </row>
    <row r="90" spans="1:3" x14ac:dyDescent="0.2">
      <c r="A90" s="25" t="s">
        <v>1046</v>
      </c>
      <c r="B90" s="39">
        <v>4002</v>
      </c>
      <c r="C90" s="1053">
        <v>0</v>
      </c>
    </row>
    <row r="91" spans="1:3" x14ac:dyDescent="0.2">
      <c r="A91" s="25" t="s">
        <v>114</v>
      </c>
      <c r="B91" s="26">
        <v>4177</v>
      </c>
      <c r="C91" s="1053">
        <v>0</v>
      </c>
    </row>
    <row r="92" spans="1:3" x14ac:dyDescent="0.2">
      <c r="A92" s="25" t="s">
        <v>74</v>
      </c>
      <c r="B92" s="26">
        <v>5412</v>
      </c>
      <c r="C92" s="1053">
        <v>0</v>
      </c>
    </row>
    <row r="93" spans="1:3" x14ac:dyDescent="0.2">
      <c r="A93" s="25" t="s">
        <v>73</v>
      </c>
      <c r="B93" s="26">
        <v>5414</v>
      </c>
      <c r="C93" s="1053">
        <v>0</v>
      </c>
    </row>
    <row r="94" spans="1:3" x14ac:dyDescent="0.2">
      <c r="A94" s="9" t="s">
        <v>597</v>
      </c>
      <c r="B94" s="10">
        <v>6905</v>
      </c>
      <c r="C94" s="1053">
        <v>0</v>
      </c>
    </row>
    <row r="95" spans="1:3" x14ac:dyDescent="0.2">
      <c r="A95" s="25"/>
      <c r="B95" s="26"/>
      <c r="C95" s="1053"/>
    </row>
    <row r="96" spans="1:3" x14ac:dyDescent="0.2">
      <c r="A96" s="24" t="s">
        <v>115</v>
      </c>
      <c r="B96" s="24" t="s">
        <v>115</v>
      </c>
      <c r="C96" s="1053">
        <f>SUM(C81:C95)</f>
        <v>741717</v>
      </c>
    </row>
    <row r="97" spans="1:3" x14ac:dyDescent="0.2">
      <c r="A97" s="24"/>
      <c r="B97" s="24"/>
      <c r="C97" s="1053"/>
    </row>
    <row r="98" spans="1:3" x14ac:dyDescent="0.2">
      <c r="A98" s="9" t="s">
        <v>114</v>
      </c>
      <c r="B98" s="26">
        <v>4177</v>
      </c>
      <c r="C98" s="1053">
        <v>0</v>
      </c>
    </row>
    <row r="99" spans="1:3" x14ac:dyDescent="0.2">
      <c r="A99" s="1"/>
      <c r="B99" s="24"/>
      <c r="C99" s="1053"/>
    </row>
    <row r="100" spans="1:3" x14ac:dyDescent="0.2">
      <c r="A100" s="1" t="s">
        <v>914</v>
      </c>
      <c r="B100" s="1" t="s">
        <v>915</v>
      </c>
      <c r="C100" s="1053">
        <f>C98</f>
        <v>0</v>
      </c>
    </row>
    <row r="101" spans="1:3" x14ac:dyDescent="0.2">
      <c r="A101" s="1"/>
      <c r="B101" s="26"/>
      <c r="C101" s="1053"/>
    </row>
    <row r="102" spans="1:3" x14ac:dyDescent="0.2">
      <c r="A102" s="24" t="s">
        <v>116</v>
      </c>
      <c r="B102" s="24" t="s">
        <v>117</v>
      </c>
      <c r="C102" s="1053">
        <f>C79+C96+C100</f>
        <v>1033455</v>
      </c>
    </row>
    <row r="107" spans="1:3" x14ac:dyDescent="0.2">
      <c r="A107" s="79" t="s">
        <v>249</v>
      </c>
      <c r="B107" s="79">
        <v>206189</v>
      </c>
    </row>
    <row r="108" spans="1:3" x14ac:dyDescent="0.2">
      <c r="A108" s="1158" t="s">
        <v>10</v>
      </c>
      <c r="B108" s="94">
        <v>2012</v>
      </c>
    </row>
    <row r="109" spans="1:3" x14ac:dyDescent="0.2">
      <c r="A109" s="1158" t="s">
        <v>73</v>
      </c>
      <c r="B109" s="94">
        <v>5414</v>
      </c>
    </row>
    <row r="110" spans="1:3" x14ac:dyDescent="0.2">
      <c r="A110" s="1158" t="s">
        <v>912</v>
      </c>
      <c r="B110" s="94">
        <v>4000</v>
      </c>
    </row>
    <row r="111" spans="1:3" x14ac:dyDescent="0.2">
      <c r="A111" s="79" t="s">
        <v>11</v>
      </c>
      <c r="B111" s="79">
        <v>2443</v>
      </c>
    </row>
    <row r="112" spans="1:3" x14ac:dyDescent="0.2">
      <c r="A112" s="1158" t="s">
        <v>94</v>
      </c>
      <c r="B112" s="94">
        <v>2442</v>
      </c>
    </row>
    <row r="113" spans="1:2" x14ac:dyDescent="0.2">
      <c r="A113" s="80" t="s">
        <v>252</v>
      </c>
      <c r="B113" s="80" t="s">
        <v>253</v>
      </c>
    </row>
    <row r="114" spans="1:2" x14ac:dyDescent="0.2">
      <c r="A114" s="79" t="s">
        <v>13</v>
      </c>
      <c r="B114" s="79">
        <v>2629</v>
      </c>
    </row>
    <row r="115" spans="1:2" x14ac:dyDescent="0.2">
      <c r="A115" s="1158" t="s">
        <v>14</v>
      </c>
      <c r="B115" s="94">
        <v>2509</v>
      </c>
    </row>
    <row r="116" spans="1:2" x14ac:dyDescent="0.2">
      <c r="A116" s="79" t="s">
        <v>2</v>
      </c>
      <c r="B116" s="79">
        <v>1014</v>
      </c>
    </row>
    <row r="117" spans="1:2" x14ac:dyDescent="0.2">
      <c r="A117" s="1158" t="s">
        <v>15</v>
      </c>
      <c r="B117" s="94">
        <v>2005</v>
      </c>
    </row>
    <row r="118" spans="1:2" x14ac:dyDescent="0.2">
      <c r="A118" s="79" t="s">
        <v>16</v>
      </c>
      <c r="B118" s="79">
        <v>2464</v>
      </c>
    </row>
    <row r="119" spans="1:2" x14ac:dyDescent="0.2">
      <c r="A119" s="661" t="s">
        <v>763</v>
      </c>
      <c r="B119" s="697" t="s">
        <v>765</v>
      </c>
    </row>
    <row r="120" spans="1:2" x14ac:dyDescent="0.2">
      <c r="A120" s="79" t="s">
        <v>17</v>
      </c>
      <c r="B120" s="79">
        <v>2004</v>
      </c>
    </row>
    <row r="121" spans="1:2" x14ac:dyDescent="0.2">
      <c r="A121" s="79" t="s">
        <v>18</v>
      </c>
      <c r="B121" s="79">
        <v>2405</v>
      </c>
    </row>
    <row r="122" spans="1:2" x14ac:dyDescent="0.2">
      <c r="A122" s="79" t="s">
        <v>254</v>
      </c>
      <c r="B122" s="79" t="s">
        <v>256</v>
      </c>
    </row>
    <row r="123" spans="1:2" ht="15" x14ac:dyDescent="0.25">
      <c r="A123" s="1160" t="s">
        <v>261</v>
      </c>
      <c r="B123" s="1162" t="s">
        <v>766</v>
      </c>
    </row>
    <row r="124" spans="1:2" x14ac:dyDescent="0.2">
      <c r="A124" s="1163" t="s">
        <v>257</v>
      </c>
      <c r="B124" s="1164" t="s">
        <v>258</v>
      </c>
    </row>
    <row r="125" spans="1:2" x14ac:dyDescent="0.2">
      <c r="A125" s="1160" t="s">
        <v>259</v>
      </c>
      <c r="B125" s="1165" t="s">
        <v>260</v>
      </c>
    </row>
    <row r="126" spans="1:2" x14ac:dyDescent="0.2">
      <c r="A126" s="79" t="s">
        <v>19</v>
      </c>
      <c r="B126" s="79">
        <v>2011</v>
      </c>
    </row>
    <row r="127" spans="1:2" x14ac:dyDescent="0.2">
      <c r="A127" s="80" t="s">
        <v>262</v>
      </c>
      <c r="B127" s="80" t="s">
        <v>263</v>
      </c>
    </row>
    <row r="128" spans="1:2" x14ac:dyDescent="0.2">
      <c r="A128" s="79" t="s">
        <v>20</v>
      </c>
      <c r="B128" s="79">
        <v>5201</v>
      </c>
    </row>
    <row r="129" spans="1:2" x14ac:dyDescent="0.2">
      <c r="A129" s="79" t="s">
        <v>264</v>
      </c>
      <c r="B129" s="79">
        <v>206124</v>
      </c>
    </row>
    <row r="130" spans="1:2" x14ac:dyDescent="0.2">
      <c r="A130" s="79" t="s">
        <v>21</v>
      </c>
      <c r="B130" s="79">
        <v>2433</v>
      </c>
    </row>
    <row r="131" spans="1:2" x14ac:dyDescent="0.2">
      <c r="A131" s="1158" t="s">
        <v>22</v>
      </c>
      <c r="B131" s="94">
        <v>2432</v>
      </c>
    </row>
    <row r="132" spans="1:2" x14ac:dyDescent="0.2">
      <c r="A132" s="79" t="s">
        <v>267</v>
      </c>
      <c r="B132" s="79" t="s">
        <v>269</v>
      </c>
    </row>
    <row r="133" spans="1:2" x14ac:dyDescent="0.2">
      <c r="A133" s="79" t="s">
        <v>199</v>
      </c>
      <c r="B133" s="79">
        <v>2447</v>
      </c>
    </row>
    <row r="134" spans="1:2" x14ac:dyDescent="0.2">
      <c r="A134" s="79" t="s">
        <v>23</v>
      </c>
      <c r="B134" s="79">
        <v>2512</v>
      </c>
    </row>
    <row r="135" spans="1:2" x14ac:dyDescent="0.2">
      <c r="A135" s="79" t="s">
        <v>270</v>
      </c>
      <c r="B135" s="79">
        <v>206126</v>
      </c>
    </row>
    <row r="136" spans="1:2" x14ac:dyDescent="0.2">
      <c r="A136" s="79" t="s">
        <v>272</v>
      </c>
      <c r="B136" s="79">
        <v>206111</v>
      </c>
    </row>
    <row r="137" spans="1:2" x14ac:dyDescent="0.2">
      <c r="A137" s="79" t="s">
        <v>274</v>
      </c>
      <c r="B137" s="79">
        <v>206091</v>
      </c>
    </row>
    <row r="138" spans="1:2" x14ac:dyDescent="0.2">
      <c r="A138" s="79" t="s">
        <v>24</v>
      </c>
      <c r="B138" s="79">
        <v>2456</v>
      </c>
    </row>
    <row r="139" spans="1:2" x14ac:dyDescent="0.2">
      <c r="A139" s="79" t="s">
        <v>3</v>
      </c>
      <c r="B139" s="79">
        <v>1017</v>
      </c>
    </row>
    <row r="140" spans="1:2" x14ac:dyDescent="0.2">
      <c r="A140" s="79" t="s">
        <v>25</v>
      </c>
      <c r="B140" s="79">
        <v>2449</v>
      </c>
    </row>
    <row r="141" spans="1:2" x14ac:dyDescent="0.2">
      <c r="A141" s="1158" t="s">
        <v>26</v>
      </c>
      <c r="B141" s="79">
        <v>2448</v>
      </c>
    </row>
    <row r="142" spans="1:2" x14ac:dyDescent="0.2">
      <c r="A142" s="79" t="s">
        <v>4</v>
      </c>
      <c r="B142" s="79">
        <v>1006</v>
      </c>
    </row>
    <row r="143" spans="1:2" x14ac:dyDescent="0.2">
      <c r="A143" s="79" t="s">
        <v>27</v>
      </c>
      <c r="B143" s="79">
        <v>2467</v>
      </c>
    </row>
    <row r="144" spans="1:2" x14ac:dyDescent="0.2">
      <c r="A144" s="1158" t="s">
        <v>75</v>
      </c>
      <c r="B144" s="94">
        <v>5402</v>
      </c>
    </row>
    <row r="145" spans="1:2" x14ac:dyDescent="0.2">
      <c r="A145" s="1158" t="s">
        <v>28</v>
      </c>
      <c r="B145" s="94">
        <v>2455</v>
      </c>
    </row>
    <row r="146" spans="1:2" x14ac:dyDescent="0.2">
      <c r="A146" s="1158" t="s">
        <v>29</v>
      </c>
      <c r="B146" s="94">
        <v>5203</v>
      </c>
    </row>
    <row r="147" spans="1:2" x14ac:dyDescent="0.2">
      <c r="A147" s="107" t="s">
        <v>30</v>
      </c>
      <c r="B147" s="79">
        <v>2451</v>
      </c>
    </row>
    <row r="148" spans="1:2" x14ac:dyDescent="0.2">
      <c r="A148" s="80" t="s">
        <v>276</v>
      </c>
      <c r="B148" s="80" t="s">
        <v>277</v>
      </c>
    </row>
    <row r="149" spans="1:2" x14ac:dyDescent="0.2">
      <c r="A149" s="79" t="s">
        <v>278</v>
      </c>
      <c r="B149" s="79">
        <v>206128</v>
      </c>
    </row>
    <row r="150" spans="1:2" x14ac:dyDescent="0.2">
      <c r="A150" s="1158" t="s">
        <v>452</v>
      </c>
      <c r="B150" s="94">
        <v>4002</v>
      </c>
    </row>
    <row r="151" spans="1:2" x14ac:dyDescent="0.2">
      <c r="A151" s="456" t="s">
        <v>455</v>
      </c>
      <c r="B151" s="79">
        <v>2430</v>
      </c>
    </row>
    <row r="152" spans="1:2" x14ac:dyDescent="0.2">
      <c r="A152" s="1167" t="s">
        <v>768</v>
      </c>
      <c r="B152" s="1169" t="s">
        <v>769</v>
      </c>
    </row>
    <row r="153" spans="1:2" x14ac:dyDescent="0.2">
      <c r="A153" s="1158" t="s">
        <v>68</v>
      </c>
      <c r="B153" s="94">
        <v>4608</v>
      </c>
    </row>
    <row r="154" spans="1:2" x14ac:dyDescent="0.2">
      <c r="A154" s="1158" t="s">
        <v>31</v>
      </c>
      <c r="B154" s="94">
        <v>2409</v>
      </c>
    </row>
    <row r="155" spans="1:2" x14ac:dyDescent="0.2">
      <c r="A155" s="1170" t="s">
        <v>281</v>
      </c>
      <c r="B155" s="1168" t="s">
        <v>282</v>
      </c>
    </row>
    <row r="156" spans="1:2" x14ac:dyDescent="0.2">
      <c r="A156" s="1171" t="s">
        <v>1401</v>
      </c>
      <c r="B156" s="1173" t="s">
        <v>771</v>
      </c>
    </row>
    <row r="157" spans="1:2" x14ac:dyDescent="0.2">
      <c r="A157" s="1174" t="s">
        <v>539</v>
      </c>
      <c r="B157" s="96">
        <v>205921</v>
      </c>
    </row>
    <row r="158" spans="1:2" x14ac:dyDescent="0.2">
      <c r="A158" s="1171" t="s">
        <v>1372</v>
      </c>
      <c r="B158" s="1154" t="s">
        <v>776</v>
      </c>
    </row>
    <row r="159" spans="1:2" x14ac:dyDescent="0.2">
      <c r="A159" s="1174" t="s">
        <v>538</v>
      </c>
      <c r="B159" s="96">
        <v>205999</v>
      </c>
    </row>
    <row r="160" spans="1:2" x14ac:dyDescent="0.2">
      <c r="A160" s="96" t="s">
        <v>537</v>
      </c>
      <c r="B160" s="95" t="s">
        <v>283</v>
      </c>
    </row>
    <row r="161" spans="1:2" x14ac:dyDescent="0.2">
      <c r="A161" s="1171" t="s">
        <v>1373</v>
      </c>
      <c r="B161" s="1153">
        <v>206065</v>
      </c>
    </row>
    <row r="162" spans="1:2" x14ac:dyDescent="0.2">
      <c r="A162" s="1175" t="s">
        <v>1375</v>
      </c>
      <c r="B162" s="1154" t="s">
        <v>787</v>
      </c>
    </row>
    <row r="163" spans="1:2" x14ac:dyDescent="0.2">
      <c r="A163" s="456" t="s">
        <v>589</v>
      </c>
      <c r="B163" s="1176" t="s">
        <v>288</v>
      </c>
    </row>
    <row r="164" spans="1:2" x14ac:dyDescent="0.2">
      <c r="A164" s="1177" t="s">
        <v>540</v>
      </c>
      <c r="B164" s="96">
        <v>205922</v>
      </c>
    </row>
    <row r="165" spans="1:2" x14ac:dyDescent="0.2">
      <c r="A165" s="456" t="s">
        <v>587</v>
      </c>
      <c r="B165" s="1154" t="s">
        <v>784</v>
      </c>
    </row>
    <row r="166" spans="1:2" x14ac:dyDescent="0.2">
      <c r="A166" s="1171" t="s">
        <v>1374</v>
      </c>
      <c r="B166" s="1154" t="s">
        <v>781</v>
      </c>
    </row>
    <row r="167" spans="1:2" x14ac:dyDescent="0.2">
      <c r="A167" s="1171" t="s">
        <v>1376</v>
      </c>
      <c r="B167" s="1178">
        <v>205919</v>
      </c>
    </row>
    <row r="168" spans="1:2" x14ac:dyDescent="0.2">
      <c r="A168" s="96" t="s">
        <v>541</v>
      </c>
      <c r="B168" s="95" t="s">
        <v>287</v>
      </c>
    </row>
    <row r="169" spans="1:2" x14ac:dyDescent="0.2">
      <c r="A169" s="1171" t="s">
        <v>1377</v>
      </c>
      <c r="B169" s="1179" t="s">
        <v>791</v>
      </c>
    </row>
    <row r="170" spans="1:2" x14ac:dyDescent="0.2">
      <c r="A170" s="1171" t="s">
        <v>1378</v>
      </c>
      <c r="B170" s="1169" t="s">
        <v>793</v>
      </c>
    </row>
    <row r="171" spans="1:2" x14ac:dyDescent="0.2">
      <c r="A171" s="1180" t="s">
        <v>1380</v>
      </c>
      <c r="B171" s="1154" t="s">
        <v>796</v>
      </c>
    </row>
    <row r="172" spans="1:2" x14ac:dyDescent="0.2">
      <c r="A172" s="1181" t="s">
        <v>1379</v>
      </c>
      <c r="B172" s="697">
        <v>205849</v>
      </c>
    </row>
    <row r="173" spans="1:2" x14ac:dyDescent="0.2">
      <c r="A173" s="456" t="s">
        <v>594</v>
      </c>
      <c r="B173" s="1176" t="s">
        <v>284</v>
      </c>
    </row>
    <row r="174" spans="1:2" x14ac:dyDescent="0.2">
      <c r="A174" s="1182" t="s">
        <v>1381</v>
      </c>
      <c r="B174" s="1154" t="s">
        <v>798</v>
      </c>
    </row>
    <row r="175" spans="1:2" x14ac:dyDescent="0.2">
      <c r="A175" s="1183" t="s">
        <v>1385</v>
      </c>
      <c r="B175" s="1184">
        <v>205922</v>
      </c>
    </row>
    <row r="176" spans="1:2" x14ac:dyDescent="0.2">
      <c r="A176" s="1185" t="s">
        <v>1384</v>
      </c>
      <c r="B176" s="1179">
        <v>205881</v>
      </c>
    </row>
    <row r="177" spans="1:2" x14ac:dyDescent="0.2">
      <c r="A177" s="1186" t="s">
        <v>1382</v>
      </c>
      <c r="B177" s="1187" t="s">
        <v>801</v>
      </c>
    </row>
    <row r="178" spans="1:2" x14ac:dyDescent="0.2">
      <c r="A178" s="1174" t="s">
        <v>542</v>
      </c>
      <c r="B178" s="96" t="s">
        <v>289</v>
      </c>
    </row>
    <row r="179" spans="1:2" x14ac:dyDescent="0.2">
      <c r="A179" s="1171" t="s">
        <v>1383</v>
      </c>
      <c r="B179" s="1179" t="s">
        <v>806</v>
      </c>
    </row>
    <row r="180" spans="1:2" x14ac:dyDescent="0.2">
      <c r="A180" s="1185" t="s">
        <v>807</v>
      </c>
      <c r="B180" s="1179" t="s">
        <v>808</v>
      </c>
    </row>
    <row r="181" spans="1:2" x14ac:dyDescent="0.2">
      <c r="A181" s="1185" t="s">
        <v>1386</v>
      </c>
      <c r="B181" s="1189" t="s">
        <v>811</v>
      </c>
    </row>
    <row r="182" spans="1:2" x14ac:dyDescent="0.2">
      <c r="A182" s="1181" t="s">
        <v>543</v>
      </c>
      <c r="B182" s="96">
        <v>2</v>
      </c>
    </row>
    <row r="183" spans="1:2" x14ac:dyDescent="0.2">
      <c r="A183" s="1192" t="s">
        <v>1387</v>
      </c>
      <c r="B183" s="1150" t="s">
        <v>668</v>
      </c>
    </row>
    <row r="184" spans="1:2" x14ac:dyDescent="0.2">
      <c r="A184" s="693" t="s">
        <v>1388</v>
      </c>
      <c r="B184" s="1179" t="s">
        <v>686</v>
      </c>
    </row>
    <row r="185" spans="1:2" x14ac:dyDescent="0.2">
      <c r="A185" s="96" t="s">
        <v>544</v>
      </c>
      <c r="B185" s="1184">
        <v>205956</v>
      </c>
    </row>
    <row r="186" spans="1:2" x14ac:dyDescent="0.2">
      <c r="A186" s="702" t="s">
        <v>1389</v>
      </c>
      <c r="B186" s="1169">
        <v>260849</v>
      </c>
    </row>
    <row r="187" spans="1:2" x14ac:dyDescent="0.2">
      <c r="A187" s="693" t="s">
        <v>1390</v>
      </c>
      <c r="B187" s="1169" t="s">
        <v>818</v>
      </c>
    </row>
    <row r="188" spans="1:2" x14ac:dyDescent="0.2">
      <c r="A188" s="1193" t="s">
        <v>1391</v>
      </c>
      <c r="B188" s="1165" t="s">
        <v>291</v>
      </c>
    </row>
    <row r="189" spans="1:2" x14ac:dyDescent="0.2">
      <c r="A189" s="1145" t="s">
        <v>1392</v>
      </c>
      <c r="B189" s="1154" t="s">
        <v>821</v>
      </c>
    </row>
    <row r="190" spans="1:2" x14ac:dyDescent="0.2">
      <c r="A190" s="1142" t="s">
        <v>1394</v>
      </c>
      <c r="B190" s="1154" t="s">
        <v>825</v>
      </c>
    </row>
    <row r="191" spans="1:2" x14ac:dyDescent="0.2">
      <c r="A191" s="1142" t="s">
        <v>1393</v>
      </c>
      <c r="B191" s="1189" t="s">
        <v>823</v>
      </c>
    </row>
    <row r="192" spans="1:2" x14ac:dyDescent="0.2">
      <c r="A192" s="583" t="s">
        <v>1396</v>
      </c>
      <c r="B192" s="1154" t="s">
        <v>830</v>
      </c>
    </row>
    <row r="193" spans="1:2" x14ac:dyDescent="0.2">
      <c r="A193" s="1143" t="s">
        <v>1395</v>
      </c>
      <c r="B193" s="1154" t="s">
        <v>827</v>
      </c>
    </row>
    <row r="194" spans="1:2" x14ac:dyDescent="0.2">
      <c r="A194" s="1181" t="s">
        <v>591</v>
      </c>
      <c r="B194" s="95" t="s">
        <v>293</v>
      </c>
    </row>
    <row r="195" spans="1:2" x14ac:dyDescent="0.2">
      <c r="A195" s="1142" t="s">
        <v>1402</v>
      </c>
      <c r="B195" s="697" t="s">
        <v>833</v>
      </c>
    </row>
    <row r="196" spans="1:2" x14ac:dyDescent="0.2">
      <c r="A196" s="1142" t="s">
        <v>1403</v>
      </c>
      <c r="B196" s="1154" t="s">
        <v>835</v>
      </c>
    </row>
    <row r="197" spans="1:2" x14ac:dyDescent="0.2">
      <c r="A197" s="1174" t="s">
        <v>547</v>
      </c>
      <c r="B197" s="95" t="s">
        <v>295</v>
      </c>
    </row>
    <row r="198" spans="1:2" x14ac:dyDescent="0.2">
      <c r="A198" s="1148" t="s">
        <v>1397</v>
      </c>
      <c r="B198" s="1154">
        <v>206031</v>
      </c>
    </row>
    <row r="199" spans="1:2" x14ac:dyDescent="0.2">
      <c r="A199" s="1174" t="s">
        <v>546</v>
      </c>
      <c r="B199" s="95" t="s">
        <v>296</v>
      </c>
    </row>
    <row r="200" spans="1:2" x14ac:dyDescent="0.2">
      <c r="A200" s="96" t="s">
        <v>545</v>
      </c>
      <c r="B200" s="95" t="s">
        <v>294</v>
      </c>
    </row>
    <row r="201" spans="1:2" x14ac:dyDescent="0.2">
      <c r="A201" s="1143" t="s">
        <v>1398</v>
      </c>
      <c r="B201" s="1154" t="s">
        <v>840</v>
      </c>
    </row>
    <row r="202" spans="1:2" x14ac:dyDescent="0.2">
      <c r="A202" s="96" t="s">
        <v>1371</v>
      </c>
      <c r="B202" s="95" t="s">
        <v>298</v>
      </c>
    </row>
    <row r="203" spans="1:2" x14ac:dyDescent="0.2">
      <c r="A203" s="1143" t="s">
        <v>1407</v>
      </c>
      <c r="B203" s="1179" t="s">
        <v>844</v>
      </c>
    </row>
    <row r="204" spans="1:2" x14ac:dyDescent="0.2">
      <c r="A204" s="1181" t="s">
        <v>592</v>
      </c>
      <c r="B204" s="1184">
        <v>206043</v>
      </c>
    </row>
    <row r="205" spans="1:2" x14ac:dyDescent="0.2">
      <c r="A205" s="1177" t="s">
        <v>548</v>
      </c>
      <c r="B205" s="95" t="s">
        <v>299</v>
      </c>
    </row>
    <row r="206" spans="1:2" x14ac:dyDescent="0.2">
      <c r="A206" s="1194" t="s">
        <v>590</v>
      </c>
      <c r="B206" s="1195" t="s">
        <v>292</v>
      </c>
    </row>
    <row r="207" spans="1:2" x14ac:dyDescent="0.2">
      <c r="A207" s="1196" t="s">
        <v>593</v>
      </c>
      <c r="B207" s="1197" t="s">
        <v>297</v>
      </c>
    </row>
    <row r="208" spans="1:2" x14ac:dyDescent="0.2">
      <c r="A208" s="1143" t="s">
        <v>1406</v>
      </c>
      <c r="B208" s="1154">
        <v>206067</v>
      </c>
    </row>
    <row r="209" spans="1:2" ht="15" x14ac:dyDescent="0.2">
      <c r="A209" s="1177" t="s">
        <v>549</v>
      </c>
      <c r="B209" s="97" t="s">
        <v>300</v>
      </c>
    </row>
    <row r="210" spans="1:2" x14ac:dyDescent="0.2">
      <c r="A210" s="1190" t="s">
        <v>1400</v>
      </c>
      <c r="B210" s="1191" t="s">
        <v>290</v>
      </c>
    </row>
    <row r="211" spans="1:2" x14ac:dyDescent="0.2">
      <c r="A211" s="1198" t="s">
        <v>550</v>
      </c>
      <c r="B211" s="98" t="s">
        <v>301</v>
      </c>
    </row>
    <row r="212" spans="1:2" x14ac:dyDescent="0.2">
      <c r="A212" s="1147" t="s">
        <v>1404</v>
      </c>
      <c r="B212" s="1209" t="s">
        <v>854</v>
      </c>
    </row>
    <row r="213" spans="1:2" x14ac:dyDescent="0.2">
      <c r="A213" s="456" t="s">
        <v>595</v>
      </c>
      <c r="B213" s="1176" t="s">
        <v>285</v>
      </c>
    </row>
    <row r="214" spans="1:2" x14ac:dyDescent="0.2">
      <c r="A214" s="1147" t="s">
        <v>1405</v>
      </c>
      <c r="B214" s="1209" t="s">
        <v>856</v>
      </c>
    </row>
    <row r="215" spans="1:2" x14ac:dyDescent="0.2">
      <c r="A215" s="87" t="s">
        <v>302</v>
      </c>
      <c r="B215" s="88" t="s">
        <v>303</v>
      </c>
    </row>
    <row r="216" spans="1:2" x14ac:dyDescent="0.2">
      <c r="A216" s="79" t="s">
        <v>304</v>
      </c>
      <c r="B216" s="79" t="s">
        <v>306</v>
      </c>
    </row>
    <row r="217" spans="1:2" x14ac:dyDescent="0.2">
      <c r="A217" s="1144" t="s">
        <v>858</v>
      </c>
      <c r="B217" s="1169" t="s">
        <v>859</v>
      </c>
    </row>
    <row r="218" spans="1:2" x14ac:dyDescent="0.2">
      <c r="A218" s="1158" t="s">
        <v>111</v>
      </c>
      <c r="B218" s="94">
        <v>4178</v>
      </c>
    </row>
    <row r="219" spans="1:2" x14ac:dyDescent="0.2">
      <c r="A219" s="1158" t="s">
        <v>98</v>
      </c>
      <c r="B219" s="94">
        <v>3158</v>
      </c>
    </row>
    <row r="220" spans="1:2" x14ac:dyDescent="0.2">
      <c r="A220" s="79" t="s">
        <v>32</v>
      </c>
      <c r="B220" s="79">
        <v>2619</v>
      </c>
    </row>
    <row r="221" spans="1:2" x14ac:dyDescent="0.2">
      <c r="A221" s="1141" t="s">
        <v>860</v>
      </c>
      <c r="B221" s="1154" t="s">
        <v>861</v>
      </c>
    </row>
    <row r="222" spans="1:2" x14ac:dyDescent="0.2">
      <c r="A222" s="79" t="s">
        <v>307</v>
      </c>
      <c r="B222" s="80" t="s">
        <v>308</v>
      </c>
    </row>
    <row r="223" spans="1:2" x14ac:dyDescent="0.2">
      <c r="A223" s="79" t="s">
        <v>309</v>
      </c>
      <c r="B223" s="79">
        <v>258417</v>
      </c>
    </row>
    <row r="224" spans="1:2" x14ac:dyDescent="0.2">
      <c r="A224" s="79" t="s">
        <v>311</v>
      </c>
      <c r="B224" s="79" t="s">
        <v>313</v>
      </c>
    </row>
    <row r="225" spans="1:2" x14ac:dyDescent="0.2">
      <c r="A225" s="79" t="s">
        <v>314</v>
      </c>
      <c r="B225" s="79" t="s">
        <v>316</v>
      </c>
    </row>
    <row r="226" spans="1:2" x14ac:dyDescent="0.2">
      <c r="A226" s="79" t="s">
        <v>33</v>
      </c>
      <c r="B226" s="79">
        <v>2518</v>
      </c>
    </row>
    <row r="227" spans="1:2" x14ac:dyDescent="0.2">
      <c r="A227" s="1141" t="s">
        <v>862</v>
      </c>
      <c r="B227" s="1210" t="s">
        <v>863</v>
      </c>
    </row>
    <row r="228" spans="1:2" x14ac:dyDescent="0.2">
      <c r="A228" s="79" t="s">
        <v>317</v>
      </c>
      <c r="B228" s="79">
        <v>206106</v>
      </c>
    </row>
    <row r="229" spans="1:2" x14ac:dyDescent="0.2">
      <c r="A229" s="80" t="s">
        <v>319</v>
      </c>
      <c r="B229" s="80" t="s">
        <v>320</v>
      </c>
    </row>
    <row r="230" spans="1:2" x14ac:dyDescent="0.2">
      <c r="A230" s="1144" t="s">
        <v>864</v>
      </c>
      <c r="B230" s="1169" t="s">
        <v>865</v>
      </c>
    </row>
    <row r="231" spans="1:2" x14ac:dyDescent="0.2">
      <c r="A231" s="1158" t="s">
        <v>34</v>
      </c>
      <c r="B231" s="94">
        <v>2457</v>
      </c>
    </row>
    <row r="232" spans="1:2" x14ac:dyDescent="0.2">
      <c r="A232" s="1158" t="s">
        <v>99</v>
      </c>
      <c r="B232" s="79">
        <v>2010</v>
      </c>
    </row>
    <row r="233" spans="1:2" x14ac:dyDescent="0.2">
      <c r="A233" s="79" t="s">
        <v>35</v>
      </c>
      <c r="B233" s="79">
        <v>2002</v>
      </c>
    </row>
    <row r="234" spans="1:2" x14ac:dyDescent="0.2">
      <c r="A234" s="79" t="s">
        <v>36</v>
      </c>
      <c r="B234" s="79">
        <v>3544</v>
      </c>
    </row>
    <row r="235" spans="1:2" x14ac:dyDescent="0.2">
      <c r="A235" s="79" t="s">
        <v>5</v>
      </c>
      <c r="B235" s="79">
        <v>1008</v>
      </c>
    </row>
    <row r="236" spans="1:2" x14ac:dyDescent="0.2">
      <c r="A236" s="79" t="s">
        <v>321</v>
      </c>
      <c r="B236" s="79" t="s">
        <v>322</v>
      </c>
    </row>
    <row r="237" spans="1:2" x14ac:dyDescent="0.2">
      <c r="A237" s="79" t="s">
        <v>100</v>
      </c>
      <c r="B237" s="79">
        <v>2006</v>
      </c>
    </row>
    <row r="238" spans="1:2" x14ac:dyDescent="0.2">
      <c r="A238" s="80" t="s">
        <v>323</v>
      </c>
      <c r="B238" s="80" t="s">
        <v>324</v>
      </c>
    </row>
    <row r="239" spans="1:2" x14ac:dyDescent="0.2">
      <c r="A239" s="79" t="s">
        <v>325</v>
      </c>
      <c r="B239" s="79">
        <v>206133</v>
      </c>
    </row>
    <row r="240" spans="1:2" x14ac:dyDescent="0.2">
      <c r="A240" s="1149" t="s">
        <v>867</v>
      </c>
      <c r="B240" s="1169" t="s">
        <v>868</v>
      </c>
    </row>
    <row r="241" spans="1:2" x14ac:dyDescent="0.2">
      <c r="A241" s="79" t="s">
        <v>327</v>
      </c>
      <c r="B241" s="79" t="s">
        <v>329</v>
      </c>
    </row>
    <row r="242" spans="1:2" x14ac:dyDescent="0.2">
      <c r="A242" s="79" t="s">
        <v>330</v>
      </c>
      <c r="B242" s="79">
        <v>206134</v>
      </c>
    </row>
    <row r="243" spans="1:2" x14ac:dyDescent="0.2">
      <c r="A243" s="79" t="s">
        <v>334</v>
      </c>
      <c r="B243" s="79" t="s">
        <v>335</v>
      </c>
    </row>
    <row r="244" spans="1:2" x14ac:dyDescent="0.2">
      <c r="A244" s="1199" t="s">
        <v>332</v>
      </c>
      <c r="B244" s="1200" t="s">
        <v>333</v>
      </c>
    </row>
    <row r="245" spans="1:2" x14ac:dyDescent="0.2">
      <c r="A245" s="79" t="s">
        <v>336</v>
      </c>
      <c r="B245" s="79" t="s">
        <v>337</v>
      </c>
    </row>
    <row r="246" spans="1:2" x14ac:dyDescent="0.2">
      <c r="A246" s="79" t="s">
        <v>338</v>
      </c>
      <c r="B246" s="79">
        <v>206109</v>
      </c>
    </row>
    <row r="247" spans="1:2" x14ac:dyDescent="0.2">
      <c r="A247" s="79" t="s">
        <v>37</v>
      </c>
      <c r="B247" s="79">
        <v>2434</v>
      </c>
    </row>
    <row r="248" spans="1:2" x14ac:dyDescent="0.2">
      <c r="A248" s="1161" t="s">
        <v>597</v>
      </c>
      <c r="B248" s="147">
        <v>6905</v>
      </c>
    </row>
    <row r="249" spans="1:2" x14ac:dyDescent="0.2">
      <c r="A249" s="1158" t="s">
        <v>42</v>
      </c>
      <c r="B249" s="94">
        <v>2009</v>
      </c>
    </row>
    <row r="250" spans="1:2" x14ac:dyDescent="0.2">
      <c r="A250" s="1158" t="s">
        <v>38</v>
      </c>
      <c r="B250" s="94">
        <v>2522</v>
      </c>
    </row>
    <row r="251" spans="1:2" x14ac:dyDescent="0.2">
      <c r="A251" s="79" t="s">
        <v>340</v>
      </c>
      <c r="B251" s="79">
        <v>206110</v>
      </c>
    </row>
    <row r="252" spans="1:2" x14ac:dyDescent="0.2">
      <c r="A252" s="79" t="s">
        <v>342</v>
      </c>
      <c r="B252" s="79">
        <v>206135</v>
      </c>
    </row>
    <row r="253" spans="1:2" x14ac:dyDescent="0.2">
      <c r="A253" s="1158" t="s">
        <v>69</v>
      </c>
      <c r="B253" s="94">
        <v>4181</v>
      </c>
    </row>
    <row r="254" spans="1:2" x14ac:dyDescent="0.2">
      <c r="A254" s="79" t="s">
        <v>344</v>
      </c>
      <c r="B254" s="79">
        <v>509195</v>
      </c>
    </row>
    <row r="255" spans="1:2" x14ac:dyDescent="0.2">
      <c r="A255" s="87" t="s">
        <v>346</v>
      </c>
      <c r="B255" s="88" t="s">
        <v>347</v>
      </c>
    </row>
    <row r="256" spans="1:2" x14ac:dyDescent="0.2">
      <c r="A256" s="1201" t="s">
        <v>348</v>
      </c>
      <c r="B256" s="1202" t="s">
        <v>349</v>
      </c>
    </row>
    <row r="257" spans="1:2" x14ac:dyDescent="0.2">
      <c r="A257" s="79" t="s">
        <v>350</v>
      </c>
      <c r="B257" s="79" t="s">
        <v>352</v>
      </c>
    </row>
    <row r="258" spans="1:2" x14ac:dyDescent="0.2">
      <c r="A258" s="79" t="s">
        <v>353</v>
      </c>
      <c r="B258" s="79">
        <v>509199</v>
      </c>
    </row>
    <row r="259" spans="1:2" x14ac:dyDescent="0.2">
      <c r="A259" s="79" t="s">
        <v>355</v>
      </c>
      <c r="B259" s="79">
        <v>509197</v>
      </c>
    </row>
    <row r="260" spans="1:2" x14ac:dyDescent="0.2">
      <c r="A260" s="1151" t="s">
        <v>870</v>
      </c>
      <c r="B260" s="1211">
        <v>479383</v>
      </c>
    </row>
    <row r="261" spans="1:2" x14ac:dyDescent="0.2">
      <c r="A261" s="1170" t="s">
        <v>360</v>
      </c>
      <c r="B261" s="1168" t="s">
        <v>361</v>
      </c>
    </row>
    <row r="262" spans="1:2" x14ac:dyDescent="0.2">
      <c r="A262" s="1158" t="s">
        <v>70</v>
      </c>
      <c r="B262" s="94">
        <v>4182</v>
      </c>
    </row>
    <row r="263" spans="1:2" x14ac:dyDescent="0.2">
      <c r="A263" s="79" t="s">
        <v>357</v>
      </c>
      <c r="B263" s="79" t="s">
        <v>359</v>
      </c>
    </row>
    <row r="264" spans="1:2" x14ac:dyDescent="0.2">
      <c r="A264" s="79" t="s">
        <v>6</v>
      </c>
      <c r="B264" s="79">
        <v>1005</v>
      </c>
    </row>
    <row r="265" spans="1:2" x14ac:dyDescent="0.2">
      <c r="A265" s="489" t="s">
        <v>871</v>
      </c>
      <c r="B265" s="1179" t="s">
        <v>872</v>
      </c>
    </row>
    <row r="266" spans="1:2" x14ac:dyDescent="0.2">
      <c r="A266" s="1158" t="s">
        <v>39</v>
      </c>
      <c r="B266" s="94">
        <v>2436</v>
      </c>
    </row>
    <row r="267" spans="1:2" x14ac:dyDescent="0.2">
      <c r="A267" s="79" t="s">
        <v>362</v>
      </c>
      <c r="B267" s="79">
        <v>206117</v>
      </c>
    </row>
    <row r="268" spans="1:2" x14ac:dyDescent="0.2">
      <c r="A268" s="79" t="s">
        <v>40</v>
      </c>
      <c r="B268" s="79">
        <v>2452</v>
      </c>
    </row>
    <row r="269" spans="1:2" x14ac:dyDescent="0.2">
      <c r="A269" s="1158" t="s">
        <v>71</v>
      </c>
      <c r="B269" s="94">
        <v>4001</v>
      </c>
    </row>
    <row r="270" spans="1:2" x14ac:dyDescent="0.2">
      <c r="A270" s="79" t="s">
        <v>364</v>
      </c>
      <c r="B270" s="79">
        <v>206141</v>
      </c>
    </row>
    <row r="271" spans="1:2" x14ac:dyDescent="0.2">
      <c r="A271" s="1158" t="s">
        <v>41</v>
      </c>
      <c r="B271" s="94">
        <v>2627</v>
      </c>
    </row>
    <row r="272" spans="1:2" x14ac:dyDescent="0.2">
      <c r="A272" s="1158" t="s">
        <v>112</v>
      </c>
      <c r="B272" s="94">
        <v>5406</v>
      </c>
    </row>
    <row r="273" spans="1:2" x14ac:dyDescent="0.2">
      <c r="A273" s="1158" t="s">
        <v>113</v>
      </c>
      <c r="B273" s="94">
        <v>5407</v>
      </c>
    </row>
    <row r="274" spans="1:2" x14ac:dyDescent="0.2">
      <c r="A274" s="79" t="s">
        <v>366</v>
      </c>
      <c r="B274" s="79" t="s">
        <v>368</v>
      </c>
    </row>
    <row r="275" spans="1:2" x14ac:dyDescent="0.2">
      <c r="A275" s="79" t="s">
        <v>369</v>
      </c>
      <c r="B275" s="79">
        <v>258404</v>
      </c>
    </row>
    <row r="276" spans="1:2" x14ac:dyDescent="0.2">
      <c r="A276" s="1158" t="s">
        <v>101</v>
      </c>
      <c r="B276" s="79">
        <v>2473</v>
      </c>
    </row>
    <row r="277" spans="1:2" x14ac:dyDescent="0.2">
      <c r="A277" s="1158" t="s">
        <v>44</v>
      </c>
      <c r="B277" s="94">
        <v>2471</v>
      </c>
    </row>
    <row r="278" spans="1:2" x14ac:dyDescent="0.2">
      <c r="A278" s="79" t="s">
        <v>371</v>
      </c>
      <c r="B278" s="79">
        <v>258405</v>
      </c>
    </row>
    <row r="279" spans="1:2" x14ac:dyDescent="0.2">
      <c r="A279" s="79" t="s">
        <v>373</v>
      </c>
      <c r="B279" s="79">
        <v>258406</v>
      </c>
    </row>
    <row r="280" spans="1:2" x14ac:dyDescent="0.2">
      <c r="A280" s="79" t="s">
        <v>43</v>
      </c>
      <c r="B280" s="79">
        <v>2420</v>
      </c>
    </row>
    <row r="281" spans="1:2" x14ac:dyDescent="0.2">
      <c r="A281" s="79" t="s">
        <v>375</v>
      </c>
      <c r="B281" s="79">
        <v>206160</v>
      </c>
    </row>
    <row r="282" spans="1:2" x14ac:dyDescent="0.2">
      <c r="A282" s="79" t="s">
        <v>45</v>
      </c>
      <c r="B282" s="79">
        <v>2003</v>
      </c>
    </row>
    <row r="283" spans="1:2" x14ac:dyDescent="0.2">
      <c r="A283" s="1158" t="s">
        <v>46</v>
      </c>
      <c r="B283" s="94">
        <v>2423</v>
      </c>
    </row>
    <row r="284" spans="1:2" x14ac:dyDescent="0.2">
      <c r="A284" s="1158" t="s">
        <v>47</v>
      </c>
      <c r="B284" s="94">
        <v>2424</v>
      </c>
    </row>
    <row r="285" spans="1:2" x14ac:dyDescent="0.2">
      <c r="A285" s="79" t="s">
        <v>377</v>
      </c>
      <c r="B285" s="79" t="s">
        <v>379</v>
      </c>
    </row>
    <row r="286" spans="1:2" x14ac:dyDescent="0.2">
      <c r="A286" s="726" t="s">
        <v>873</v>
      </c>
      <c r="B286" s="1179" t="s">
        <v>874</v>
      </c>
    </row>
    <row r="287" spans="1:2" x14ac:dyDescent="0.2">
      <c r="A287" s="79" t="s">
        <v>382</v>
      </c>
      <c r="B287" s="79" t="s">
        <v>384</v>
      </c>
    </row>
    <row r="288" spans="1:2" x14ac:dyDescent="0.2">
      <c r="A288" s="79" t="s">
        <v>385</v>
      </c>
      <c r="B288" s="79">
        <v>206146</v>
      </c>
    </row>
    <row r="289" spans="1:2" x14ac:dyDescent="0.2">
      <c r="A289" s="1158" t="s">
        <v>48</v>
      </c>
      <c r="B289" s="94">
        <v>2439</v>
      </c>
    </row>
    <row r="290" spans="1:2" x14ac:dyDescent="0.2">
      <c r="A290" s="1158" t="s">
        <v>49</v>
      </c>
      <c r="B290" s="94">
        <v>2440</v>
      </c>
    </row>
    <row r="291" spans="1:2" x14ac:dyDescent="0.2">
      <c r="A291" s="80" t="s">
        <v>387</v>
      </c>
      <c r="B291" s="80" t="s">
        <v>388</v>
      </c>
    </row>
    <row r="292" spans="1:2" x14ac:dyDescent="0.2">
      <c r="A292" s="1158" t="s">
        <v>102</v>
      </c>
      <c r="B292" s="79">
        <v>2462</v>
      </c>
    </row>
    <row r="293" spans="1:2" x14ac:dyDescent="0.2">
      <c r="A293" s="1158" t="s">
        <v>50</v>
      </c>
      <c r="B293" s="94">
        <v>2463</v>
      </c>
    </row>
    <row r="294" spans="1:2" x14ac:dyDescent="0.2">
      <c r="A294" s="79" t="s">
        <v>51</v>
      </c>
      <c r="B294" s="79">
        <v>2505</v>
      </c>
    </row>
    <row r="295" spans="1:2" x14ac:dyDescent="0.2">
      <c r="A295" s="79" t="s">
        <v>52</v>
      </c>
      <c r="B295" s="79">
        <v>2000</v>
      </c>
    </row>
    <row r="296" spans="1:2" x14ac:dyDescent="0.2">
      <c r="A296" s="1158" t="s">
        <v>53</v>
      </c>
      <c r="B296" s="94">
        <v>2458</v>
      </c>
    </row>
    <row r="297" spans="1:2" x14ac:dyDescent="0.2">
      <c r="A297" s="79" t="s">
        <v>392</v>
      </c>
      <c r="B297" s="79" t="s">
        <v>394</v>
      </c>
    </row>
    <row r="298" spans="1:2" x14ac:dyDescent="0.2">
      <c r="A298" s="79" t="s">
        <v>54</v>
      </c>
      <c r="B298" s="79">
        <v>2001</v>
      </c>
    </row>
    <row r="299" spans="1:2" x14ac:dyDescent="0.2">
      <c r="A299" s="80" t="s">
        <v>395</v>
      </c>
      <c r="B299" s="80" t="s">
        <v>396</v>
      </c>
    </row>
    <row r="300" spans="1:2" x14ac:dyDescent="0.2">
      <c r="A300" s="79" t="s">
        <v>55</v>
      </c>
      <c r="B300" s="79">
        <v>2429</v>
      </c>
    </row>
    <row r="301" spans="1:2" x14ac:dyDescent="0.2">
      <c r="A301" s="79" t="s">
        <v>397</v>
      </c>
      <c r="B301" s="79">
        <v>113044</v>
      </c>
    </row>
    <row r="302" spans="1:2" x14ac:dyDescent="0.2">
      <c r="A302" s="79" t="s">
        <v>399</v>
      </c>
      <c r="B302" s="79" t="s">
        <v>401</v>
      </c>
    </row>
    <row r="303" spans="1:2" x14ac:dyDescent="0.2">
      <c r="A303" s="1158" t="s">
        <v>72</v>
      </c>
      <c r="B303" s="94">
        <v>4607</v>
      </c>
    </row>
    <row r="304" spans="1:2" x14ac:dyDescent="0.2">
      <c r="A304" s="665" t="s">
        <v>881</v>
      </c>
      <c r="B304" s="1169" t="s">
        <v>882</v>
      </c>
    </row>
    <row r="305" spans="1:2" x14ac:dyDescent="0.2">
      <c r="A305" s="726" t="s">
        <v>883</v>
      </c>
      <c r="B305" s="1154" t="s">
        <v>884</v>
      </c>
    </row>
    <row r="306" spans="1:2" x14ac:dyDescent="0.2">
      <c r="A306" s="79" t="s">
        <v>56</v>
      </c>
      <c r="B306" s="79">
        <v>2444</v>
      </c>
    </row>
    <row r="307" spans="1:2" x14ac:dyDescent="0.2">
      <c r="A307" s="1158" t="s">
        <v>57</v>
      </c>
      <c r="B307" s="94">
        <v>5209</v>
      </c>
    </row>
    <row r="308" spans="1:2" x14ac:dyDescent="0.2">
      <c r="A308" s="79" t="s">
        <v>402</v>
      </c>
      <c r="B308" s="79" t="s">
        <v>404</v>
      </c>
    </row>
    <row r="309" spans="1:2" x14ac:dyDescent="0.2">
      <c r="A309" s="79" t="s">
        <v>405</v>
      </c>
      <c r="B309" s="79" t="s">
        <v>407</v>
      </c>
    </row>
    <row r="310" spans="1:2" x14ac:dyDescent="0.2">
      <c r="A310" s="1158" t="s">
        <v>58</v>
      </c>
      <c r="B310" s="94">
        <v>2469</v>
      </c>
    </row>
    <row r="311" spans="1:2" x14ac:dyDescent="0.2">
      <c r="A311" s="79" t="s">
        <v>408</v>
      </c>
      <c r="B311" s="79" t="s">
        <v>410</v>
      </c>
    </row>
    <row r="312" spans="1:2" x14ac:dyDescent="0.2">
      <c r="A312" s="99" t="s">
        <v>411</v>
      </c>
      <c r="B312" s="99" t="s">
        <v>412</v>
      </c>
    </row>
    <row r="313" spans="1:2" x14ac:dyDescent="0.2">
      <c r="A313" s="1158" t="s">
        <v>59</v>
      </c>
      <c r="B313" s="94">
        <v>2466</v>
      </c>
    </row>
    <row r="314" spans="1:2" x14ac:dyDescent="0.2">
      <c r="A314" s="79" t="s">
        <v>60</v>
      </c>
      <c r="B314" s="79">
        <v>3543</v>
      </c>
    </row>
    <row r="315" spans="1:2" x14ac:dyDescent="0.2">
      <c r="A315" s="79" t="s">
        <v>413</v>
      </c>
      <c r="B315" s="79">
        <v>206152</v>
      </c>
    </row>
    <row r="316" spans="1:2" x14ac:dyDescent="0.2">
      <c r="A316" s="79" t="s">
        <v>415</v>
      </c>
      <c r="B316" s="79">
        <v>206153</v>
      </c>
    </row>
    <row r="317" spans="1:2" x14ac:dyDescent="0.2">
      <c r="A317" s="1158" t="s">
        <v>62</v>
      </c>
      <c r="B317" s="94">
        <v>3531</v>
      </c>
    </row>
    <row r="318" spans="1:2" x14ac:dyDescent="0.2">
      <c r="A318" s="79" t="s">
        <v>63</v>
      </c>
      <c r="B318" s="79">
        <v>3526</v>
      </c>
    </row>
    <row r="319" spans="1:2" x14ac:dyDescent="0.2">
      <c r="A319" s="1158" t="s">
        <v>104</v>
      </c>
      <c r="B319" s="94">
        <v>3535</v>
      </c>
    </row>
    <row r="320" spans="1:2" x14ac:dyDescent="0.2">
      <c r="A320" s="1203" t="s">
        <v>64</v>
      </c>
      <c r="B320" s="94">
        <v>2008</v>
      </c>
    </row>
    <row r="321" spans="1:2" x14ac:dyDescent="0.2">
      <c r="A321" s="1158" t="s">
        <v>105</v>
      </c>
      <c r="B321" s="94">
        <v>3542</v>
      </c>
    </row>
    <row r="322" spans="1:2" x14ac:dyDescent="0.2">
      <c r="A322" s="90" t="s">
        <v>417</v>
      </c>
      <c r="B322" s="79">
        <v>206154</v>
      </c>
    </row>
    <row r="323" spans="1:2" x14ac:dyDescent="0.2">
      <c r="A323" s="1158" t="s">
        <v>106</v>
      </c>
      <c r="B323" s="79">
        <v>3528</v>
      </c>
    </row>
    <row r="324" spans="1:2" x14ac:dyDescent="0.2">
      <c r="A324" s="80" t="s">
        <v>419</v>
      </c>
      <c r="B324" s="80" t="s">
        <v>420</v>
      </c>
    </row>
    <row r="325" spans="1:2" x14ac:dyDescent="0.2">
      <c r="A325" s="1158" t="s">
        <v>107</v>
      </c>
      <c r="B325" s="94">
        <v>3534</v>
      </c>
    </row>
    <row r="326" spans="1:2" x14ac:dyDescent="0.2">
      <c r="A326" s="1158" t="s">
        <v>108</v>
      </c>
      <c r="B326" s="143">
        <v>3532</v>
      </c>
    </row>
    <row r="327" spans="1:2" x14ac:dyDescent="0.2">
      <c r="A327" s="107" t="s">
        <v>7</v>
      </c>
      <c r="B327" s="79">
        <v>1010</v>
      </c>
    </row>
    <row r="328" spans="1:2" x14ac:dyDescent="0.2">
      <c r="A328" s="107" t="s">
        <v>421</v>
      </c>
      <c r="B328" s="79" t="s">
        <v>423</v>
      </c>
    </row>
    <row r="329" spans="1:2" x14ac:dyDescent="0.2">
      <c r="A329" s="1158" t="s">
        <v>114</v>
      </c>
      <c r="B329" s="94">
        <v>4177</v>
      </c>
    </row>
    <row r="330" spans="1:2" x14ac:dyDescent="0.2">
      <c r="A330" s="79" t="s">
        <v>424</v>
      </c>
      <c r="B330" s="79" t="s">
        <v>426</v>
      </c>
    </row>
    <row r="331" spans="1:2" x14ac:dyDescent="0.2">
      <c r="A331" s="79" t="s">
        <v>427</v>
      </c>
      <c r="B331" s="79">
        <v>206103</v>
      </c>
    </row>
    <row r="332" spans="1:2" x14ac:dyDescent="0.2">
      <c r="A332" s="79" t="s">
        <v>428</v>
      </c>
      <c r="B332" s="79" t="s">
        <v>430</v>
      </c>
    </row>
    <row r="333" spans="1:2" x14ac:dyDescent="0.2">
      <c r="A333" s="79" t="s">
        <v>431</v>
      </c>
      <c r="B333" s="79" t="s">
        <v>433</v>
      </c>
    </row>
    <row r="334" spans="1:2" x14ac:dyDescent="0.2">
      <c r="A334" s="79" t="s">
        <v>434</v>
      </c>
      <c r="B334" s="79">
        <v>258420</v>
      </c>
    </row>
    <row r="335" spans="1:2" x14ac:dyDescent="0.2">
      <c r="A335" s="79" t="s">
        <v>436</v>
      </c>
      <c r="B335" s="79">
        <v>258424</v>
      </c>
    </row>
    <row r="336" spans="1:2" x14ac:dyDescent="0.2">
      <c r="A336" s="79" t="s">
        <v>438</v>
      </c>
      <c r="B336" s="79" t="s">
        <v>439</v>
      </c>
    </row>
    <row r="337" spans="1:2" x14ac:dyDescent="0.2">
      <c r="A337" s="142" t="s">
        <v>65</v>
      </c>
      <c r="B337" s="79">
        <v>3546</v>
      </c>
    </row>
    <row r="338" spans="1:2" x14ac:dyDescent="0.2">
      <c r="A338" s="140" t="s">
        <v>8</v>
      </c>
      <c r="B338" s="79">
        <v>1009</v>
      </c>
    </row>
    <row r="339" spans="1:2" x14ac:dyDescent="0.2">
      <c r="A339" s="142" t="s">
        <v>66</v>
      </c>
      <c r="B339" s="79">
        <v>3530</v>
      </c>
    </row>
    <row r="340" spans="1:2" x14ac:dyDescent="0.2">
      <c r="A340" s="1158" t="s">
        <v>74</v>
      </c>
      <c r="B340" s="94">
        <v>5412</v>
      </c>
    </row>
    <row r="341" spans="1:2" ht="15" x14ac:dyDescent="0.2">
      <c r="A341" s="146" t="s">
        <v>445</v>
      </c>
      <c r="B341" s="146" t="s">
        <v>446</v>
      </c>
    </row>
    <row r="342" spans="1:2" x14ac:dyDescent="0.2">
      <c r="A342" s="140" t="s">
        <v>440</v>
      </c>
      <c r="B342" s="144" t="s">
        <v>442</v>
      </c>
    </row>
    <row r="343" spans="1:2" x14ac:dyDescent="0.2">
      <c r="A343" s="79" t="s">
        <v>9</v>
      </c>
      <c r="B343" s="140">
        <v>1015</v>
      </c>
    </row>
    <row r="344" spans="1:2" x14ac:dyDescent="0.2">
      <c r="A344" s="141" t="s">
        <v>443</v>
      </c>
      <c r="B344" s="145" t="s">
        <v>444</v>
      </c>
    </row>
    <row r="345" spans="1:2" x14ac:dyDescent="0.2">
      <c r="A345" s="142" t="s">
        <v>447</v>
      </c>
      <c r="B345" s="79">
        <v>509204</v>
      </c>
    </row>
    <row r="346" spans="1:2" x14ac:dyDescent="0.2">
      <c r="A346" s="1206" t="s">
        <v>67</v>
      </c>
      <c r="B346" s="143">
        <v>2459</v>
      </c>
    </row>
    <row r="347" spans="1:2" x14ac:dyDescent="0.2">
      <c r="A347" s="79" t="s">
        <v>96</v>
      </c>
      <c r="B347" s="79">
        <v>2007</v>
      </c>
    </row>
  </sheetData>
  <sheetProtection password="EF5C"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378"/>
  <sheetViews>
    <sheetView workbookViewId="0">
      <pane xSplit="4" ySplit="7" topLeftCell="AS8" activePane="bottomRight" state="frozen"/>
      <selection activeCell="C118" sqref="C118"/>
      <selection pane="topRight" activeCell="C118" sqref="C118"/>
      <selection pane="bottomLeft" activeCell="C118" sqref="C118"/>
      <selection pane="bottomRight" sqref="A1:BB1048576"/>
    </sheetView>
  </sheetViews>
  <sheetFormatPr defaultRowHeight="12.75" x14ac:dyDescent="0.2"/>
  <cols>
    <col min="1" max="1" width="52.42578125" style="22" hidden="1" customWidth="1"/>
    <col min="2" max="2" width="10.7109375" style="22" hidden="1" customWidth="1"/>
    <col min="3" max="3" width="14.42578125" style="22" hidden="1" customWidth="1"/>
    <col min="4" max="4" width="17.140625" style="22" hidden="1" customWidth="1"/>
    <col min="5" max="5" width="11.85546875" style="1053" hidden="1" customWidth="1"/>
    <col min="6" max="6" width="0" style="22" hidden="1" customWidth="1"/>
    <col min="7" max="7" width="11.42578125" style="1011" hidden="1" customWidth="1"/>
    <col min="8" max="8" width="13.85546875" style="1011" hidden="1" customWidth="1"/>
    <col min="9" max="9" width="73.85546875" style="22" hidden="1" customWidth="1"/>
    <col min="10" max="11" width="10.85546875" style="1054" hidden="1" customWidth="1"/>
    <col min="12" max="13" width="10" style="1054" hidden="1" customWidth="1"/>
    <col min="14" max="15" width="10.140625" style="1054" hidden="1" customWidth="1"/>
    <col min="16" max="19" width="0" style="22" hidden="1" customWidth="1"/>
    <col min="20" max="20" width="11.7109375" style="1054" hidden="1" customWidth="1"/>
    <col min="21" max="21" width="10.7109375" style="1054" hidden="1" customWidth="1"/>
    <col min="22" max="22" width="11.85546875" style="22" hidden="1" customWidth="1"/>
    <col min="23" max="54" width="0" style="22" hidden="1" customWidth="1"/>
    <col min="55" max="16384" width="9.140625" style="22"/>
  </cols>
  <sheetData>
    <row r="1" spans="1:26" x14ac:dyDescent="0.2">
      <c r="A1" s="24" t="s">
        <v>1038</v>
      </c>
      <c r="B1" s="24"/>
      <c r="C1" s="24"/>
      <c r="D1" s="1000"/>
    </row>
    <row r="2" spans="1:26" x14ac:dyDescent="0.2">
      <c r="A2" s="24" t="s">
        <v>77</v>
      </c>
      <c r="B2" s="24"/>
      <c r="C2" s="24"/>
      <c r="D2" s="1000"/>
    </row>
    <row r="3" spans="1:26" x14ac:dyDescent="0.2">
      <c r="A3" s="24" t="s">
        <v>78</v>
      </c>
      <c r="B3" s="24"/>
      <c r="C3" s="24"/>
      <c r="D3" s="1000"/>
      <c r="G3" s="1055"/>
      <c r="H3" s="1055"/>
    </row>
    <row r="4" spans="1:26" ht="25.5" x14ac:dyDescent="0.2">
      <c r="A4" s="24" t="s">
        <v>79</v>
      </c>
      <c r="B4" s="24"/>
      <c r="C4" s="24"/>
      <c r="D4" s="1000"/>
      <c r="G4" s="1054" t="s">
        <v>1095</v>
      </c>
      <c r="H4" s="1054"/>
    </row>
    <row r="5" spans="1:26" x14ac:dyDescent="0.2">
      <c r="A5" s="24" t="s">
        <v>80</v>
      </c>
      <c r="B5" s="24"/>
      <c r="C5" s="24"/>
      <c r="D5" s="1000"/>
      <c r="K5" s="1339" t="s">
        <v>1096</v>
      </c>
      <c r="L5" s="1339"/>
      <c r="M5" s="1339"/>
      <c r="N5" s="1339"/>
      <c r="O5" s="1339"/>
    </row>
    <row r="6" spans="1:26" ht="25.5" x14ac:dyDescent="0.2">
      <c r="A6" s="1022" t="s">
        <v>118</v>
      </c>
      <c r="B6" s="1022" t="s">
        <v>1097</v>
      </c>
      <c r="C6" s="1022"/>
      <c r="D6" s="1024" t="s">
        <v>81</v>
      </c>
      <c r="E6" s="1053" t="s">
        <v>1098</v>
      </c>
      <c r="G6" s="1011" t="s">
        <v>624</v>
      </c>
      <c r="H6" s="1011" t="s">
        <v>1099</v>
      </c>
      <c r="J6" s="1056" t="s">
        <v>1100</v>
      </c>
      <c r="K6" s="1054" t="s">
        <v>1101</v>
      </c>
      <c r="L6" s="1054" t="s">
        <v>1102</v>
      </c>
      <c r="M6" s="1054" t="s">
        <v>1103</v>
      </c>
      <c r="N6" s="1054" t="s">
        <v>1104</v>
      </c>
      <c r="O6" s="1054" t="s">
        <v>1105</v>
      </c>
    </row>
    <row r="7" spans="1:26" ht="25.5" x14ac:dyDescent="0.2">
      <c r="A7" s="1022"/>
      <c r="B7" s="1022"/>
      <c r="C7" s="1022"/>
      <c r="D7" s="1024"/>
      <c r="T7" s="1054" t="s">
        <v>1106</v>
      </c>
      <c r="U7" s="1054" t="s">
        <v>1100</v>
      </c>
    </row>
    <row r="8" spans="1:26" x14ac:dyDescent="0.2">
      <c r="A8" s="53" t="s">
        <v>2</v>
      </c>
      <c r="B8" s="53" t="s">
        <v>1107</v>
      </c>
      <c r="C8" s="53"/>
      <c r="D8" s="53">
        <v>1014</v>
      </c>
      <c r="E8" s="1053">
        <v>9460.6200000000008</v>
      </c>
      <c r="G8" s="1011">
        <v>9613.5</v>
      </c>
      <c r="H8" s="1011">
        <v>-152.8799999999992</v>
      </c>
      <c r="I8" s="23"/>
      <c r="J8" s="1054">
        <v>-152.8799999999992</v>
      </c>
      <c r="R8" s="22">
        <v>8312000</v>
      </c>
      <c r="S8" s="22" t="s">
        <v>52</v>
      </c>
      <c r="T8" s="1054">
        <v>14543.5</v>
      </c>
      <c r="U8" s="1054">
        <v>-8405.42</v>
      </c>
      <c r="V8" s="1011"/>
      <c r="Y8" s="1011"/>
      <c r="Z8" s="1011"/>
    </row>
    <row r="9" spans="1:26" x14ac:dyDescent="0.2">
      <c r="A9" s="53" t="s">
        <v>3</v>
      </c>
      <c r="B9" s="53" t="s">
        <v>1108</v>
      </c>
      <c r="C9" s="53"/>
      <c r="D9" s="53">
        <v>1017</v>
      </c>
      <c r="E9" s="1053">
        <v>6364.62</v>
      </c>
      <c r="G9" s="1011">
        <v>9860</v>
      </c>
      <c r="H9" s="1011">
        <v>-3495.38</v>
      </c>
      <c r="I9" s="23"/>
      <c r="J9" s="1054">
        <v>-3495.38</v>
      </c>
      <c r="R9" s="22">
        <v>8312001</v>
      </c>
      <c r="S9" s="22" t="s">
        <v>54</v>
      </c>
      <c r="T9" s="1054">
        <v>14420.25</v>
      </c>
      <c r="U9" s="1054">
        <v>-16165.91</v>
      </c>
      <c r="V9" s="1011"/>
      <c r="Y9" s="1011"/>
      <c r="Z9" s="1011"/>
    </row>
    <row r="10" spans="1:26" x14ac:dyDescent="0.2">
      <c r="A10" s="53" t="s">
        <v>4</v>
      </c>
      <c r="B10" s="53" t="s">
        <v>1109</v>
      </c>
      <c r="C10" s="53"/>
      <c r="D10" s="53">
        <v>1006</v>
      </c>
      <c r="E10" s="1053">
        <v>6258.4800000000005</v>
      </c>
      <c r="G10" s="1011">
        <v>11339</v>
      </c>
      <c r="H10" s="1011">
        <v>-5080.5199999999995</v>
      </c>
      <c r="I10" s="23"/>
      <c r="J10" s="1054">
        <v>-5080.5199999999995</v>
      </c>
      <c r="R10" s="22">
        <v>8312002</v>
      </c>
      <c r="S10" s="22" t="s">
        <v>35</v>
      </c>
      <c r="T10" s="1054">
        <v>43137.5</v>
      </c>
      <c r="U10" s="1054">
        <v>-10780.519999999997</v>
      </c>
      <c r="V10" s="1011"/>
      <c r="Y10" s="1011"/>
      <c r="Z10" s="1011"/>
    </row>
    <row r="11" spans="1:26" x14ac:dyDescent="0.2">
      <c r="A11" s="53" t="s">
        <v>5</v>
      </c>
      <c r="B11" s="53" t="s">
        <v>1110</v>
      </c>
      <c r="C11" s="53"/>
      <c r="D11" s="53">
        <v>1008</v>
      </c>
      <c r="E11" s="1053">
        <v>2372.8200000000006</v>
      </c>
      <c r="G11" s="1011">
        <v>4683.5</v>
      </c>
      <c r="H11" s="1011">
        <v>-2310.6799999999994</v>
      </c>
      <c r="I11" s="23"/>
      <c r="J11" s="1054">
        <v>-2310.6799999999994</v>
      </c>
      <c r="R11" s="22">
        <v>8312003</v>
      </c>
      <c r="S11" s="22" t="s">
        <v>45</v>
      </c>
      <c r="T11" s="1054">
        <v>24896.5</v>
      </c>
      <c r="U11" s="1054">
        <v>-15129.98</v>
      </c>
      <c r="V11" s="1011"/>
      <c r="Y11" s="1011"/>
      <c r="Z11" s="1011"/>
    </row>
    <row r="12" spans="1:26" x14ac:dyDescent="0.2">
      <c r="A12" s="53" t="s">
        <v>6</v>
      </c>
      <c r="B12" s="53" t="s">
        <v>1111</v>
      </c>
      <c r="C12" s="53"/>
      <c r="D12" s="53">
        <v>1005</v>
      </c>
      <c r="E12" s="1053">
        <v>13773.09</v>
      </c>
      <c r="G12" s="1011">
        <v>14543.5</v>
      </c>
      <c r="H12" s="1011">
        <v>-770.40999999999985</v>
      </c>
      <c r="I12" s="23"/>
      <c r="J12" s="1054">
        <v>-770.40999999999985</v>
      </c>
      <c r="R12" s="22">
        <v>8312004</v>
      </c>
      <c r="S12" s="22" t="s">
        <v>17</v>
      </c>
      <c r="T12" s="1054">
        <v>12325</v>
      </c>
      <c r="U12" s="1054">
        <v>-12126.32</v>
      </c>
      <c r="V12" s="1011"/>
      <c r="Y12" s="1011"/>
      <c r="Z12" s="1011"/>
    </row>
    <row r="13" spans="1:26" x14ac:dyDescent="0.2">
      <c r="A13" s="53" t="s">
        <v>7</v>
      </c>
      <c r="B13" s="53" t="s">
        <v>1112</v>
      </c>
      <c r="C13" s="53"/>
      <c r="D13" s="53">
        <v>1010</v>
      </c>
      <c r="E13" s="1053">
        <v>2317.3099999999995</v>
      </c>
      <c r="G13" s="1011">
        <v>4338</v>
      </c>
      <c r="H13" s="1011">
        <v>-2020.6900000000005</v>
      </c>
      <c r="I13" s="23"/>
      <c r="J13" s="1054">
        <v>-2020.6900000000005</v>
      </c>
      <c r="R13" s="22">
        <v>8312005</v>
      </c>
      <c r="S13" s="22" t="s">
        <v>15</v>
      </c>
      <c r="T13" s="1054">
        <v>13680.75</v>
      </c>
      <c r="U13" s="1054">
        <v>-7233.4999999999991</v>
      </c>
      <c r="V13" s="1011"/>
      <c r="Y13" s="1011"/>
      <c r="Z13" s="1011"/>
    </row>
    <row r="14" spans="1:26" x14ac:dyDescent="0.2">
      <c r="A14" s="53" t="s">
        <v>8</v>
      </c>
      <c r="B14" s="53" t="s">
        <v>1113</v>
      </c>
      <c r="C14" s="53"/>
      <c r="D14" s="53">
        <v>1009</v>
      </c>
      <c r="E14" s="1053">
        <v>4466.13</v>
      </c>
      <c r="G14" s="1011">
        <v>7953</v>
      </c>
      <c r="H14" s="1011">
        <v>-3486.87</v>
      </c>
      <c r="I14" s="23"/>
      <c r="J14" s="1054">
        <v>-3486.87</v>
      </c>
      <c r="R14" s="22">
        <v>8312006</v>
      </c>
      <c r="S14" s="22" t="s">
        <v>100</v>
      </c>
      <c r="T14" s="1054">
        <v>25389.5</v>
      </c>
      <c r="U14" s="1054">
        <v>-10811.75</v>
      </c>
      <c r="V14" s="1011"/>
      <c r="Y14" s="1011"/>
      <c r="Z14" s="1011"/>
    </row>
    <row r="15" spans="1:26" x14ac:dyDescent="0.2">
      <c r="A15" s="53" t="s">
        <v>9</v>
      </c>
      <c r="B15" s="53" t="s">
        <v>1114</v>
      </c>
      <c r="C15" s="53"/>
      <c r="D15" s="53">
        <v>1015</v>
      </c>
      <c r="E15" s="1053">
        <v>2879.4900000000002</v>
      </c>
      <c r="G15" s="1011">
        <v>5784</v>
      </c>
      <c r="H15" s="1011">
        <v>-2904.5099999999998</v>
      </c>
      <c r="I15" s="23"/>
      <c r="J15" s="1054">
        <v>-2904.5099999999998</v>
      </c>
      <c r="R15" s="22">
        <v>8312400</v>
      </c>
      <c r="S15" s="22" t="s">
        <v>10</v>
      </c>
      <c r="T15" s="1054">
        <v>27854.5</v>
      </c>
      <c r="U15" s="1054">
        <v>-5328</v>
      </c>
      <c r="V15" s="1011"/>
      <c r="Y15" s="1011"/>
      <c r="Z15" s="1011"/>
    </row>
    <row r="16" spans="1:26" x14ac:dyDescent="0.2">
      <c r="A16" s="53"/>
      <c r="B16" s="53"/>
      <c r="C16" s="53"/>
      <c r="D16" s="53"/>
      <c r="I16" s="23"/>
      <c r="R16" s="22">
        <v>8312405</v>
      </c>
      <c r="S16" s="22" t="s">
        <v>18</v>
      </c>
      <c r="T16" s="1054">
        <v>9860</v>
      </c>
      <c r="U16" s="1054">
        <v>-15698.470000000001</v>
      </c>
      <c r="V16" s="1011"/>
      <c r="Y16" s="1011"/>
      <c r="Z16" s="1011"/>
    </row>
    <row r="17" spans="1:26" x14ac:dyDescent="0.2">
      <c r="A17" s="24" t="s">
        <v>580</v>
      </c>
      <c r="B17" s="53"/>
      <c r="C17" s="24"/>
      <c r="D17" s="24" t="s">
        <v>580</v>
      </c>
      <c r="E17" s="1053">
        <v>47892.56</v>
      </c>
      <c r="G17" s="1030">
        <v>68114.5</v>
      </c>
      <c r="H17" s="1030">
        <v>-20221.939999999999</v>
      </c>
      <c r="I17" s="23"/>
      <c r="J17" s="1057">
        <v>-20221.939999999999</v>
      </c>
      <c r="K17" s="1057">
        <v>0</v>
      </c>
      <c r="L17" s="1057">
        <v>0</v>
      </c>
      <c r="M17" s="1057">
        <v>0</v>
      </c>
      <c r="N17" s="1057">
        <v>0</v>
      </c>
      <c r="O17" s="1057">
        <v>0</v>
      </c>
      <c r="R17" s="22">
        <v>8312409</v>
      </c>
      <c r="S17" s="22" t="s">
        <v>31</v>
      </c>
      <c r="T17" s="1054">
        <v>29333.5</v>
      </c>
      <c r="U17" s="1054">
        <v>-16327.36</v>
      </c>
      <c r="V17" s="1011"/>
      <c r="Y17" s="1011"/>
      <c r="Z17" s="1011"/>
    </row>
    <row r="18" spans="1:26" x14ac:dyDescent="0.2">
      <c r="A18" s="1022"/>
      <c r="B18" s="53"/>
      <c r="C18" s="1022"/>
      <c r="D18" s="1024"/>
      <c r="R18" s="22">
        <v>8312420</v>
      </c>
      <c r="S18" s="22" t="s">
        <v>43</v>
      </c>
      <c r="T18" s="1054">
        <v>18610.75</v>
      </c>
      <c r="U18" s="1054">
        <v>-10374</v>
      </c>
      <c r="V18" s="1011"/>
      <c r="Y18" s="1011"/>
      <c r="Z18" s="1011"/>
    </row>
    <row r="19" spans="1:26" x14ac:dyDescent="0.2">
      <c r="A19" s="25" t="s">
        <v>10</v>
      </c>
      <c r="B19" s="53" t="s">
        <v>1115</v>
      </c>
      <c r="C19" s="25"/>
      <c r="D19" s="26">
        <v>2012</v>
      </c>
      <c r="E19" s="1053">
        <v>22526.5</v>
      </c>
      <c r="G19" s="1011">
        <v>27854.5</v>
      </c>
      <c r="H19" s="1011">
        <v>-5328</v>
      </c>
      <c r="J19" s="1054">
        <v>-5328</v>
      </c>
      <c r="R19" s="22">
        <v>8312423</v>
      </c>
      <c r="S19" s="22" t="s">
        <v>46</v>
      </c>
      <c r="T19" s="1054">
        <v>10599.5</v>
      </c>
      <c r="U19" s="1054">
        <v>-7725.8199999999988</v>
      </c>
      <c r="V19" s="1011"/>
      <c r="Y19" s="1011"/>
      <c r="Z19" s="1011"/>
    </row>
    <row r="20" spans="1:26" x14ac:dyDescent="0.2">
      <c r="A20" s="25" t="s">
        <v>11</v>
      </c>
      <c r="B20" s="53" t="s">
        <v>1116</v>
      </c>
      <c r="C20" s="25"/>
      <c r="D20" s="26">
        <v>2443</v>
      </c>
      <c r="E20" s="1053">
        <v>3753.3899999999994</v>
      </c>
      <c r="G20" s="1011">
        <v>12448.25</v>
      </c>
      <c r="H20" s="1011">
        <v>-8694.86</v>
      </c>
      <c r="J20" s="1054">
        <v>-8694.86</v>
      </c>
      <c r="R20" s="22">
        <v>8312424</v>
      </c>
      <c r="S20" s="22" t="s">
        <v>47</v>
      </c>
      <c r="T20" s="1054">
        <v>10599.5</v>
      </c>
      <c r="U20" s="1054">
        <v>-7725.8199999999988</v>
      </c>
      <c r="V20" s="1011"/>
      <c r="Y20" s="1011"/>
      <c r="Z20" s="1011"/>
    </row>
    <row r="21" spans="1:26" x14ac:dyDescent="0.2">
      <c r="A21" s="25" t="s">
        <v>94</v>
      </c>
      <c r="B21" s="53" t="s">
        <v>1117</v>
      </c>
      <c r="C21" s="25"/>
      <c r="D21" s="26">
        <v>2442</v>
      </c>
      <c r="E21" s="1053">
        <v>3753.3899999999994</v>
      </c>
      <c r="G21" s="1011">
        <v>12448.25</v>
      </c>
      <c r="H21" s="1011">
        <v>-8694.86</v>
      </c>
      <c r="J21" s="1054">
        <v>-8694.86</v>
      </c>
      <c r="R21" s="22">
        <v>8312429</v>
      </c>
      <c r="S21" s="22" t="s">
        <v>55</v>
      </c>
      <c r="T21" s="1054">
        <v>6748</v>
      </c>
      <c r="U21" s="1054">
        <v>-10104.68</v>
      </c>
      <c r="V21" s="1011"/>
      <c r="Y21" s="1011"/>
      <c r="Z21" s="1011"/>
    </row>
    <row r="22" spans="1:26" x14ac:dyDescent="0.2">
      <c r="A22" s="25" t="s">
        <v>13</v>
      </c>
      <c r="B22" s="53" t="s">
        <v>1118</v>
      </c>
      <c r="C22" s="25"/>
      <c r="D22" s="26">
        <v>2629</v>
      </c>
      <c r="E22" s="1053">
        <v>31287.54</v>
      </c>
      <c r="G22" s="1011">
        <v>38700.5</v>
      </c>
      <c r="H22" s="1011">
        <v>-7412.9599999999991</v>
      </c>
      <c r="J22" s="1054">
        <v>-7412.9599999999991</v>
      </c>
      <c r="R22" s="22">
        <v>8312430</v>
      </c>
      <c r="S22" s="22" t="s">
        <v>451</v>
      </c>
      <c r="T22" s="1054">
        <v>19227</v>
      </c>
      <c r="U22" s="1054">
        <v>-2896.0900000000015</v>
      </c>
      <c r="V22" s="1011"/>
      <c r="Y22" s="1011"/>
      <c r="Z22" s="1011"/>
    </row>
    <row r="23" spans="1:26" x14ac:dyDescent="0.2">
      <c r="A23" s="25" t="s">
        <v>14</v>
      </c>
      <c r="B23" s="53" t="s">
        <v>1119</v>
      </c>
      <c r="C23" s="25"/>
      <c r="D23" s="26">
        <v>2509</v>
      </c>
      <c r="E23" s="1053">
        <v>2482.17</v>
      </c>
      <c r="G23" s="1011">
        <v>11339</v>
      </c>
      <c r="H23" s="1011">
        <v>-8856.83</v>
      </c>
      <c r="J23" s="1054">
        <v>-8856.83</v>
      </c>
      <c r="R23" s="22">
        <v>8312432</v>
      </c>
      <c r="S23" s="22" t="s">
        <v>22</v>
      </c>
      <c r="T23" s="1054">
        <v>6902</v>
      </c>
      <c r="U23" s="1054">
        <v>-5816.2649999999994</v>
      </c>
      <c r="V23" s="1011"/>
      <c r="Y23" s="1011"/>
      <c r="Z23" s="1011"/>
    </row>
    <row r="24" spans="1:26" x14ac:dyDescent="0.2">
      <c r="A24" s="25" t="s">
        <v>15</v>
      </c>
      <c r="B24" s="53" t="s">
        <v>1120</v>
      </c>
      <c r="C24" s="25"/>
      <c r="D24" s="26">
        <v>2005</v>
      </c>
      <c r="E24" s="1053">
        <v>6447.2500000000009</v>
      </c>
      <c r="G24" s="1011">
        <v>13680.75</v>
      </c>
      <c r="H24" s="1011">
        <v>-7233.4999999999991</v>
      </c>
      <c r="J24" s="1054">
        <v>-7233.4999999999991</v>
      </c>
      <c r="R24" s="22">
        <v>8312433</v>
      </c>
      <c r="S24" s="22" t="s">
        <v>21</v>
      </c>
      <c r="T24" s="1054">
        <v>6902</v>
      </c>
      <c r="U24" s="1054">
        <v>-5816.2649999999994</v>
      </c>
      <c r="V24" s="1011"/>
      <c r="Y24" s="1011"/>
      <c r="Z24" s="1011"/>
    </row>
    <row r="25" spans="1:26" x14ac:dyDescent="0.2">
      <c r="A25" s="25" t="s">
        <v>16</v>
      </c>
      <c r="B25" s="53" t="s">
        <v>1121</v>
      </c>
      <c r="C25" s="25"/>
      <c r="D25" s="26">
        <v>2464</v>
      </c>
      <c r="E25" s="1053">
        <v>-578.09000000000015</v>
      </c>
      <c r="G25" s="1011">
        <v>10599.5</v>
      </c>
      <c r="H25" s="1011">
        <v>-11177.59</v>
      </c>
      <c r="J25" s="1054">
        <v>-11177.59</v>
      </c>
      <c r="R25" s="22">
        <v>8312434</v>
      </c>
      <c r="S25" s="22" t="s">
        <v>37</v>
      </c>
      <c r="T25" s="1054">
        <v>43384</v>
      </c>
      <c r="U25" s="1054">
        <v>-49510.86</v>
      </c>
      <c r="V25" s="1011"/>
      <c r="Y25" s="1011"/>
      <c r="Z25" s="1011"/>
    </row>
    <row r="26" spans="1:26" x14ac:dyDescent="0.2">
      <c r="A26" s="25" t="s">
        <v>17</v>
      </c>
      <c r="B26" s="53" t="s">
        <v>1122</v>
      </c>
      <c r="C26" s="25"/>
      <c r="D26" s="26">
        <v>2004</v>
      </c>
      <c r="E26" s="1053">
        <v>198.68000000000029</v>
      </c>
      <c r="G26" s="1011">
        <v>12325</v>
      </c>
      <c r="H26" s="1011">
        <v>-12126.32</v>
      </c>
      <c r="J26" s="1054">
        <v>-12126.32</v>
      </c>
      <c r="R26" s="22">
        <v>8312436</v>
      </c>
      <c r="S26" s="22" t="s">
        <v>39</v>
      </c>
      <c r="T26" s="1054">
        <v>12941.25</v>
      </c>
      <c r="U26" s="1054">
        <v>-5303.9400000000005</v>
      </c>
      <c r="V26" s="1011"/>
      <c r="Y26" s="1011"/>
      <c r="Z26" s="1011"/>
    </row>
    <row r="27" spans="1:26" x14ac:dyDescent="0.2">
      <c r="A27" s="25" t="s">
        <v>18</v>
      </c>
      <c r="B27" s="53" t="s">
        <v>1123</v>
      </c>
      <c r="C27" s="25"/>
      <c r="D27" s="26">
        <v>2405</v>
      </c>
      <c r="E27" s="1053">
        <v>-5838.4700000000012</v>
      </c>
      <c r="G27" s="1011">
        <v>9860</v>
      </c>
      <c r="H27" s="1011">
        <v>-15698.470000000001</v>
      </c>
      <c r="J27" s="1054">
        <v>-15698.470000000001</v>
      </c>
      <c r="R27" s="22">
        <v>8312439</v>
      </c>
      <c r="S27" s="22" t="s">
        <v>48</v>
      </c>
      <c r="T27" s="1054">
        <v>7953</v>
      </c>
      <c r="U27" s="1054">
        <v>-1997.4999999999998</v>
      </c>
      <c r="V27" s="1011"/>
      <c r="Y27" s="1011"/>
      <c r="Z27" s="1011"/>
    </row>
    <row r="28" spans="1:26" ht="22.5" x14ac:dyDescent="0.2">
      <c r="A28" s="25" t="s">
        <v>95</v>
      </c>
      <c r="B28" s="53" t="s">
        <v>1124</v>
      </c>
      <c r="C28" s="1058" t="s">
        <v>1125</v>
      </c>
      <c r="D28" s="26">
        <v>2011</v>
      </c>
      <c r="E28" s="1053">
        <v>4856.0499999999993</v>
      </c>
      <c r="G28" s="1011">
        <v>4856.0499999999993</v>
      </c>
      <c r="H28" s="1059">
        <v>0</v>
      </c>
      <c r="I28" s="22" t="s">
        <v>1126</v>
      </c>
      <c r="J28" s="1054">
        <v>0</v>
      </c>
      <c r="R28" s="22">
        <v>8312440</v>
      </c>
      <c r="S28" s="22" t="s">
        <v>49</v>
      </c>
      <c r="T28" s="1054">
        <v>31305.5</v>
      </c>
      <c r="U28" s="1054">
        <v>-14092.879999999997</v>
      </c>
      <c r="V28" s="1011"/>
      <c r="Y28" s="1011"/>
      <c r="Z28" s="1011"/>
    </row>
    <row r="29" spans="1:26" x14ac:dyDescent="0.2">
      <c r="A29" s="25" t="s">
        <v>20</v>
      </c>
      <c r="B29" s="53" t="s">
        <v>1127</v>
      </c>
      <c r="C29" s="25"/>
      <c r="D29" s="26">
        <v>5201</v>
      </c>
      <c r="E29" s="1053">
        <v>-496.40000000000146</v>
      </c>
      <c r="G29" s="1011">
        <v>16762</v>
      </c>
      <c r="H29" s="1011">
        <v>-17258.400000000001</v>
      </c>
      <c r="J29" s="1054">
        <v>-17258.400000000001</v>
      </c>
      <c r="R29" s="22">
        <v>8312442</v>
      </c>
      <c r="S29" s="22" t="s">
        <v>94</v>
      </c>
      <c r="T29" s="1054">
        <v>12448.25</v>
      </c>
      <c r="U29" s="1054">
        <v>-8694.86</v>
      </c>
      <c r="V29" s="1011"/>
      <c r="Y29" s="1011"/>
      <c r="Z29" s="1011"/>
    </row>
    <row r="30" spans="1:26" ht="22.5" x14ac:dyDescent="0.2">
      <c r="A30" s="25" t="s">
        <v>96</v>
      </c>
      <c r="B30" s="53" t="s">
        <v>1128</v>
      </c>
      <c r="C30" s="1058" t="s">
        <v>1129</v>
      </c>
      <c r="D30" s="26">
        <v>2007</v>
      </c>
      <c r="E30" s="1053">
        <v>2514.2999999999993</v>
      </c>
      <c r="G30" s="1011">
        <v>2514.2999999999993</v>
      </c>
      <c r="H30" s="1059">
        <v>0</v>
      </c>
      <c r="I30" s="22" t="s">
        <v>1126</v>
      </c>
      <c r="J30" s="1054">
        <v>0</v>
      </c>
      <c r="K30" s="1060">
        <v>0</v>
      </c>
      <c r="L30" s="1060">
        <v>0</v>
      </c>
      <c r="M30" s="1061">
        <v>-152.38999999999999</v>
      </c>
      <c r="N30" s="1061">
        <v>-364.72</v>
      </c>
      <c r="O30" s="1061">
        <v>-372.58</v>
      </c>
      <c r="R30" s="22">
        <v>8312443</v>
      </c>
      <c r="S30" s="22" t="s">
        <v>11</v>
      </c>
      <c r="T30" s="1054">
        <v>12448.25</v>
      </c>
      <c r="U30" s="1054">
        <v>-8694.86</v>
      </c>
      <c r="V30" s="1011"/>
      <c r="Y30" s="1011"/>
      <c r="Z30" s="1011"/>
    </row>
    <row r="31" spans="1:26" x14ac:dyDescent="0.2">
      <c r="A31" s="25" t="s">
        <v>21</v>
      </c>
      <c r="B31" s="53" t="s">
        <v>1130</v>
      </c>
      <c r="C31" s="25"/>
      <c r="D31" s="26">
        <v>2433</v>
      </c>
      <c r="E31" s="1053">
        <v>1085.7350000000006</v>
      </c>
      <c r="G31" s="1011">
        <v>6902</v>
      </c>
      <c r="H31" s="1011">
        <v>-5816.2649999999994</v>
      </c>
      <c r="J31" s="1054">
        <v>-5816.2649999999994</v>
      </c>
      <c r="R31" s="22">
        <v>8312444</v>
      </c>
      <c r="S31" s="22" t="s">
        <v>56</v>
      </c>
      <c r="T31" s="1054">
        <v>8874</v>
      </c>
      <c r="U31" s="1054">
        <v>-2973.41</v>
      </c>
      <c r="V31" s="1011"/>
      <c r="Y31" s="1011"/>
      <c r="Z31" s="1011"/>
    </row>
    <row r="32" spans="1:26" x14ac:dyDescent="0.2">
      <c r="A32" s="25" t="s">
        <v>22</v>
      </c>
      <c r="B32" s="53" t="s">
        <v>1131</v>
      </c>
      <c r="C32" s="25"/>
      <c r="D32" s="26">
        <v>2432</v>
      </c>
      <c r="E32" s="1053">
        <v>1085.7350000000006</v>
      </c>
      <c r="G32" s="1011">
        <v>6902</v>
      </c>
      <c r="H32" s="1011">
        <v>-5816.2649999999994</v>
      </c>
      <c r="J32" s="1054">
        <v>-5816.2649999999994</v>
      </c>
      <c r="R32" s="22">
        <v>8312448</v>
      </c>
      <c r="S32" s="22" t="s">
        <v>26</v>
      </c>
      <c r="T32" s="1054">
        <v>7148.5</v>
      </c>
      <c r="U32" s="1054">
        <v>-10954.189999999999</v>
      </c>
      <c r="V32" s="1011"/>
      <c r="Y32" s="1011"/>
      <c r="Z32" s="1011"/>
    </row>
    <row r="33" spans="1:26" x14ac:dyDescent="0.2">
      <c r="A33" s="25" t="s">
        <v>199</v>
      </c>
      <c r="B33" s="53" t="s">
        <v>1132</v>
      </c>
      <c r="C33" s="25"/>
      <c r="D33" s="26">
        <v>2447</v>
      </c>
      <c r="E33" s="1053">
        <v>6946.92</v>
      </c>
      <c r="G33" s="1011">
        <v>16269</v>
      </c>
      <c r="H33" s="1011">
        <v>-9322.08</v>
      </c>
      <c r="J33" s="1054">
        <v>-9322.08</v>
      </c>
      <c r="R33" s="22">
        <v>8312449</v>
      </c>
      <c r="S33" s="22" t="s">
        <v>25</v>
      </c>
      <c r="T33" s="1054">
        <v>7148.5</v>
      </c>
      <c r="U33" s="1054">
        <v>-10877.52</v>
      </c>
      <c r="V33" s="1011"/>
      <c r="Y33" s="1011"/>
      <c r="Z33" s="1011"/>
    </row>
    <row r="34" spans="1:26" x14ac:dyDescent="0.2">
      <c r="A34" s="25" t="s">
        <v>23</v>
      </c>
      <c r="B34" s="53" t="s">
        <v>1133</v>
      </c>
      <c r="C34" s="25"/>
      <c r="D34" s="26">
        <v>2512</v>
      </c>
      <c r="E34" s="1053">
        <v>12531.54</v>
      </c>
      <c r="G34" s="1011">
        <v>15036.5</v>
      </c>
      <c r="H34" s="1011">
        <v>-2504.9599999999991</v>
      </c>
      <c r="J34" s="1054">
        <v>-2504.9599999999991</v>
      </c>
      <c r="R34" s="22">
        <v>8312451</v>
      </c>
      <c r="S34" s="22" t="s">
        <v>30</v>
      </c>
      <c r="T34" s="1054">
        <v>22431.5</v>
      </c>
      <c r="U34" s="1054">
        <v>-6328.7499999999991</v>
      </c>
      <c r="V34" s="1011"/>
      <c r="Y34" s="1011"/>
      <c r="Z34" s="1011"/>
    </row>
    <row r="35" spans="1:26" x14ac:dyDescent="0.2">
      <c r="A35" s="25" t="s">
        <v>24</v>
      </c>
      <c r="B35" s="53" t="s">
        <v>1134</v>
      </c>
      <c r="C35" s="25"/>
      <c r="D35" s="26">
        <v>2456</v>
      </c>
      <c r="E35" s="1053">
        <v>4975.5</v>
      </c>
      <c r="G35" s="1011">
        <v>8435</v>
      </c>
      <c r="H35" s="1011">
        <v>-3459.5</v>
      </c>
      <c r="J35" s="1054">
        <v>-3459.5</v>
      </c>
      <c r="R35" s="22">
        <v>8312452</v>
      </c>
      <c r="S35" s="22" t="s">
        <v>40</v>
      </c>
      <c r="T35" s="1054">
        <v>11339</v>
      </c>
      <c r="U35" s="1054">
        <v>-14936.140000000001</v>
      </c>
      <c r="V35" s="1011"/>
      <c r="Y35" s="1011"/>
      <c r="Z35" s="1011"/>
    </row>
    <row r="36" spans="1:26" x14ac:dyDescent="0.2">
      <c r="A36" s="25" t="s">
        <v>25</v>
      </c>
      <c r="B36" s="53" t="s">
        <v>1135</v>
      </c>
      <c r="C36" s="25"/>
      <c r="D36" s="26">
        <v>2449</v>
      </c>
      <c r="E36" s="1053">
        <v>-3729.0200000000004</v>
      </c>
      <c r="G36" s="1011">
        <v>7148.5</v>
      </c>
      <c r="H36" s="1011">
        <v>-10877.52</v>
      </c>
      <c r="J36" s="1054">
        <v>-10877.52</v>
      </c>
      <c r="R36" s="22">
        <v>8312455</v>
      </c>
      <c r="S36" s="22" t="s">
        <v>28</v>
      </c>
      <c r="T36" s="1054">
        <v>24650</v>
      </c>
      <c r="U36" s="1054">
        <v>-4880.29</v>
      </c>
      <c r="V36" s="1011"/>
      <c r="Y36" s="1011"/>
      <c r="Z36" s="1011"/>
    </row>
    <row r="37" spans="1:26" x14ac:dyDescent="0.2">
      <c r="A37" s="25" t="s">
        <v>26</v>
      </c>
      <c r="B37" s="53" t="s">
        <v>1136</v>
      </c>
      <c r="C37" s="25"/>
      <c r="D37" s="26">
        <v>2448</v>
      </c>
      <c r="E37" s="1053">
        <v>-3805.6899999999987</v>
      </c>
      <c r="G37" s="1011">
        <v>7148.5</v>
      </c>
      <c r="H37" s="1011">
        <v>-10954.189999999999</v>
      </c>
      <c r="J37" s="1054">
        <v>-10954.189999999999</v>
      </c>
      <c r="R37" s="22">
        <v>8312456</v>
      </c>
      <c r="S37" s="22" t="s">
        <v>24</v>
      </c>
      <c r="T37" s="1054">
        <v>8435</v>
      </c>
      <c r="U37" s="1054">
        <v>-3459.5</v>
      </c>
      <c r="V37" s="1011"/>
      <c r="Y37" s="1011"/>
      <c r="Z37" s="1011"/>
    </row>
    <row r="38" spans="1:26" x14ac:dyDescent="0.2">
      <c r="A38" s="25" t="s">
        <v>126</v>
      </c>
      <c r="B38" s="53" t="s">
        <v>1137</v>
      </c>
      <c r="C38" s="25"/>
      <c r="D38" s="26">
        <v>2467</v>
      </c>
      <c r="E38" s="1053">
        <v>434.30000000000109</v>
      </c>
      <c r="G38" s="1011">
        <v>11092.5</v>
      </c>
      <c r="H38" s="1011">
        <v>-10658.199999999999</v>
      </c>
      <c r="J38" s="1054">
        <v>-10658.199999999999</v>
      </c>
      <c r="R38" s="22">
        <v>8312457</v>
      </c>
      <c r="S38" s="22" t="s">
        <v>34</v>
      </c>
      <c r="T38" s="1054">
        <v>15652.75</v>
      </c>
      <c r="U38" s="1054">
        <v>-22508.58</v>
      </c>
      <c r="V38" s="1011"/>
      <c r="Y38" s="1011"/>
      <c r="Z38" s="1011"/>
    </row>
    <row r="39" spans="1:26" x14ac:dyDescent="0.2">
      <c r="A39" s="25" t="s">
        <v>28</v>
      </c>
      <c r="B39" s="53" t="s">
        <v>1138</v>
      </c>
      <c r="C39" s="25"/>
      <c r="D39" s="26">
        <v>2455</v>
      </c>
      <c r="E39" s="1053">
        <v>19769.71</v>
      </c>
      <c r="G39" s="1011">
        <v>24650</v>
      </c>
      <c r="H39" s="1011">
        <v>-4880.29</v>
      </c>
      <c r="J39" s="1054">
        <v>-4880.29</v>
      </c>
      <c r="R39" s="22">
        <v>8312458</v>
      </c>
      <c r="S39" s="22" t="s">
        <v>53</v>
      </c>
      <c r="T39" s="1054">
        <v>7953</v>
      </c>
      <c r="U39" s="1054">
        <v>21685.763040000002</v>
      </c>
      <c r="V39" s="1011"/>
      <c r="Y39" s="1011"/>
      <c r="Z39" s="1011"/>
    </row>
    <row r="40" spans="1:26" ht="33.75" x14ac:dyDescent="0.2">
      <c r="A40" s="25" t="s">
        <v>29</v>
      </c>
      <c r="B40" s="53" t="s">
        <v>1139</v>
      </c>
      <c r="C40" s="1058" t="s">
        <v>1140</v>
      </c>
      <c r="D40" s="26">
        <v>5203</v>
      </c>
      <c r="E40" s="1053">
        <v>4706.051999999996</v>
      </c>
      <c r="G40" s="1011">
        <v>4782.0999999999985</v>
      </c>
      <c r="H40" s="1011">
        <v>-76.048000000002503</v>
      </c>
      <c r="J40" s="1054">
        <v>-76.048000000002503</v>
      </c>
      <c r="R40" s="22">
        <v>8312459</v>
      </c>
      <c r="S40" s="22" t="s">
        <v>67</v>
      </c>
      <c r="T40" s="1054">
        <v>12941.25</v>
      </c>
      <c r="U40" s="1054">
        <v>-11926.429999999998</v>
      </c>
      <c r="V40" s="1011"/>
      <c r="Y40" s="1011"/>
      <c r="Z40" s="1011"/>
    </row>
    <row r="41" spans="1:26" x14ac:dyDescent="0.2">
      <c r="A41" s="25" t="s">
        <v>30</v>
      </c>
      <c r="B41" s="53" t="s">
        <v>1141</v>
      </c>
      <c r="C41" s="25"/>
      <c r="D41" s="26">
        <v>2451</v>
      </c>
      <c r="E41" s="1053">
        <v>16102.75</v>
      </c>
      <c r="G41" s="1011">
        <v>22431.5</v>
      </c>
      <c r="H41" s="1011">
        <v>-6328.7499999999991</v>
      </c>
      <c r="J41" s="1054">
        <v>-6328.7499999999991</v>
      </c>
      <c r="R41" s="22">
        <v>8312462</v>
      </c>
      <c r="S41" s="22" t="s">
        <v>102</v>
      </c>
      <c r="T41" s="1054">
        <v>11832</v>
      </c>
      <c r="U41" s="1054">
        <v>-9009.07</v>
      </c>
      <c r="V41" s="1011"/>
      <c r="Y41" s="1011"/>
      <c r="Z41" s="1011"/>
    </row>
    <row r="42" spans="1:26" x14ac:dyDescent="0.2">
      <c r="A42" s="25" t="s">
        <v>31</v>
      </c>
      <c r="B42" s="53" t="s">
        <v>1142</v>
      </c>
      <c r="C42" s="25"/>
      <c r="D42" s="26">
        <v>2409</v>
      </c>
      <c r="E42" s="1053">
        <v>13006.14</v>
      </c>
      <c r="G42" s="1011">
        <v>29333.5</v>
      </c>
      <c r="H42" s="1011">
        <v>-16327.36</v>
      </c>
      <c r="J42" s="1054">
        <v>-16327.36</v>
      </c>
      <c r="R42" s="22">
        <v>8312463</v>
      </c>
      <c r="S42" s="22" t="s">
        <v>50</v>
      </c>
      <c r="T42" s="1054">
        <v>11832</v>
      </c>
      <c r="U42" s="1054">
        <v>-9009.07</v>
      </c>
      <c r="V42" s="1011"/>
      <c r="Y42" s="1011"/>
      <c r="Z42" s="1011"/>
    </row>
    <row r="43" spans="1:26" x14ac:dyDescent="0.2">
      <c r="A43" s="25" t="s">
        <v>98</v>
      </c>
      <c r="B43" s="53" t="s">
        <v>1143</v>
      </c>
      <c r="C43" s="25"/>
      <c r="D43" s="26">
        <v>3158</v>
      </c>
      <c r="E43" s="1053">
        <v>-660.3439999999996</v>
      </c>
      <c r="G43" s="1011">
        <v>1036.3000000000002</v>
      </c>
      <c r="H43" s="1011">
        <v>-1696.6439999999998</v>
      </c>
      <c r="J43" s="1054">
        <v>-1696.6439999999998</v>
      </c>
      <c r="R43" s="22">
        <v>8312464</v>
      </c>
      <c r="S43" s="22" t="s">
        <v>16</v>
      </c>
      <c r="T43" s="1054">
        <v>10599.5</v>
      </c>
      <c r="U43" s="1054">
        <v>-11177.59</v>
      </c>
      <c r="V43" s="1011"/>
      <c r="Y43" s="1011"/>
      <c r="Z43" s="1011"/>
    </row>
    <row r="44" spans="1:26" x14ac:dyDescent="0.2">
      <c r="A44" s="25" t="s">
        <v>32</v>
      </c>
      <c r="B44" s="53" t="s">
        <v>1144</v>
      </c>
      <c r="C44" s="25"/>
      <c r="D44" s="26">
        <v>2619</v>
      </c>
      <c r="E44" s="1053">
        <v>-4900.5400000000009</v>
      </c>
      <c r="G44" s="1011">
        <v>20089.75</v>
      </c>
      <c r="H44" s="1011">
        <v>-24990.29</v>
      </c>
      <c r="J44" s="1054">
        <v>-24990.29</v>
      </c>
      <c r="R44" s="22">
        <v>8312466</v>
      </c>
      <c r="S44" s="22" t="s">
        <v>59</v>
      </c>
      <c r="T44" s="1054">
        <v>10846</v>
      </c>
      <c r="U44" s="1054">
        <v>-6398.89</v>
      </c>
      <c r="V44" s="1011"/>
      <c r="Y44" s="1011"/>
      <c r="Z44" s="1011"/>
    </row>
    <row r="45" spans="1:26" x14ac:dyDescent="0.2">
      <c r="A45" s="25" t="s">
        <v>33</v>
      </c>
      <c r="B45" s="53" t="s">
        <v>1145</v>
      </c>
      <c r="C45" s="25"/>
      <c r="D45" s="26">
        <v>2518</v>
      </c>
      <c r="E45" s="1053">
        <v>-5774.2099999999991</v>
      </c>
      <c r="G45" s="1011">
        <v>8073.5</v>
      </c>
      <c r="H45" s="1011">
        <v>-13847.71</v>
      </c>
      <c r="J45" s="1054">
        <v>-13847.71</v>
      </c>
      <c r="R45" s="22">
        <v>8312467</v>
      </c>
      <c r="S45" s="22" t="s">
        <v>27</v>
      </c>
      <c r="T45" s="1054">
        <v>11092.5</v>
      </c>
      <c r="U45" s="1054">
        <v>-10658.199999999999</v>
      </c>
      <c r="V45" s="1011"/>
      <c r="Y45" s="1011"/>
      <c r="Z45" s="1011"/>
    </row>
    <row r="46" spans="1:26" x14ac:dyDescent="0.2">
      <c r="A46" s="25" t="s">
        <v>34</v>
      </c>
      <c r="B46" s="53" t="s">
        <v>1146</v>
      </c>
      <c r="C46" s="25"/>
      <c r="D46" s="26">
        <v>2457</v>
      </c>
      <c r="E46" s="1053">
        <v>-6855.8300000000017</v>
      </c>
      <c r="G46" s="1011">
        <v>15652.75</v>
      </c>
      <c r="H46" s="1062">
        <v>-22508.58</v>
      </c>
      <c r="J46" s="1056">
        <v>-5076.78</v>
      </c>
      <c r="K46" s="1056">
        <v>-4569.55</v>
      </c>
      <c r="L46" s="1056" t="s">
        <v>665</v>
      </c>
      <c r="M46" s="1056">
        <v>-4513.5</v>
      </c>
      <c r="N46" s="1056">
        <v>-4268.25</v>
      </c>
      <c r="O46" s="1056">
        <v>-4080.5</v>
      </c>
      <c r="R46" s="22">
        <v>8312469</v>
      </c>
      <c r="S46" s="22" t="s">
        <v>58</v>
      </c>
      <c r="T46" s="1054">
        <v>11339</v>
      </c>
      <c r="U46" s="1054">
        <v>-13748.93</v>
      </c>
      <c r="V46" s="1011"/>
      <c r="Y46" s="1011"/>
      <c r="Z46" s="1011"/>
    </row>
    <row r="47" spans="1:26" ht="22.5" x14ac:dyDescent="0.2">
      <c r="A47" s="25" t="s">
        <v>99</v>
      </c>
      <c r="B47" s="53" t="s">
        <v>1147</v>
      </c>
      <c r="C47" s="1058" t="s">
        <v>1148</v>
      </c>
      <c r="D47" s="26">
        <v>2010</v>
      </c>
      <c r="E47" s="1053">
        <v>2933.3499999999985</v>
      </c>
      <c r="G47" s="1011">
        <v>2933.3499999999985</v>
      </c>
      <c r="H47" s="1059">
        <v>0</v>
      </c>
      <c r="I47" s="22" t="s">
        <v>1126</v>
      </c>
      <c r="J47" s="1054">
        <v>0</v>
      </c>
      <c r="K47" s="1054">
        <v>0</v>
      </c>
      <c r="L47" s="1054">
        <v>0</v>
      </c>
      <c r="R47" s="22">
        <v>8312471</v>
      </c>
      <c r="S47" s="22" t="s">
        <v>44</v>
      </c>
      <c r="T47" s="1054">
        <v>11832</v>
      </c>
      <c r="U47" s="1054">
        <v>-14015.805</v>
      </c>
      <c r="V47" s="1011"/>
      <c r="Y47" s="1011"/>
      <c r="Z47" s="1011"/>
    </row>
    <row r="48" spans="1:26" x14ac:dyDescent="0.2">
      <c r="A48" s="25" t="s">
        <v>35</v>
      </c>
      <c r="B48" s="53" t="s">
        <v>1149</v>
      </c>
      <c r="C48" s="25"/>
      <c r="D48" s="26">
        <v>2002</v>
      </c>
      <c r="E48" s="1053">
        <v>32356.980000000003</v>
      </c>
      <c r="G48" s="1011">
        <v>43137.5</v>
      </c>
      <c r="H48" s="1011">
        <v>-10780.519999999997</v>
      </c>
      <c r="J48" s="1054">
        <v>-10780.519999999997</v>
      </c>
      <c r="R48" s="22">
        <v>8312473</v>
      </c>
      <c r="S48" s="22" t="s">
        <v>101</v>
      </c>
      <c r="T48" s="1054">
        <v>11832</v>
      </c>
      <c r="U48" s="1054">
        <v>-14015.805</v>
      </c>
      <c r="V48" s="1011"/>
      <c r="Y48" s="1011"/>
      <c r="Z48" s="1011"/>
    </row>
    <row r="49" spans="1:26" x14ac:dyDescent="0.2">
      <c r="A49" s="25" t="s">
        <v>36</v>
      </c>
      <c r="B49" s="53" t="s">
        <v>1150</v>
      </c>
      <c r="C49" s="25"/>
      <c r="D49" s="26">
        <v>3544</v>
      </c>
      <c r="E49" s="1053">
        <v>-11719.740000000005</v>
      </c>
      <c r="G49" s="1011">
        <v>57188</v>
      </c>
      <c r="H49" s="1011">
        <v>-68907.740000000005</v>
      </c>
      <c r="J49" s="1054">
        <v>-68907.740000000005</v>
      </c>
      <c r="R49" s="22">
        <v>8312505</v>
      </c>
      <c r="S49" s="22" t="s">
        <v>51</v>
      </c>
      <c r="T49" s="1054">
        <v>21815.25</v>
      </c>
      <c r="U49" s="1054">
        <v>-30364.26</v>
      </c>
      <c r="V49" s="1011"/>
      <c r="Y49" s="1011"/>
      <c r="Z49" s="1011"/>
    </row>
    <row r="50" spans="1:26" x14ac:dyDescent="0.2">
      <c r="A50" s="25" t="s">
        <v>100</v>
      </c>
      <c r="B50" s="53" t="s">
        <v>1151</v>
      </c>
      <c r="C50" s="25"/>
      <c r="D50" s="26">
        <v>2006</v>
      </c>
      <c r="E50" s="1053">
        <v>14577.75</v>
      </c>
      <c r="G50" s="1011">
        <v>25389.5</v>
      </c>
      <c r="H50" s="1011">
        <v>-10811.75</v>
      </c>
      <c r="J50" s="1054">
        <v>-10811.75</v>
      </c>
      <c r="R50" s="22">
        <v>8312509</v>
      </c>
      <c r="S50" s="22" t="s">
        <v>14</v>
      </c>
      <c r="T50" s="1054">
        <v>11339</v>
      </c>
      <c r="U50" s="1054">
        <v>-8856.83</v>
      </c>
      <c r="V50" s="1011"/>
      <c r="Y50" s="1011"/>
      <c r="Z50" s="1011"/>
    </row>
    <row r="51" spans="1:26" x14ac:dyDescent="0.2">
      <c r="A51" s="25" t="s">
        <v>37</v>
      </c>
      <c r="B51" s="53" t="s">
        <v>1152</v>
      </c>
      <c r="C51" s="25"/>
      <c r="D51" s="26">
        <v>2434</v>
      </c>
      <c r="E51" s="1053">
        <v>-6126.8600000000006</v>
      </c>
      <c r="G51" s="1011">
        <v>43384</v>
      </c>
      <c r="H51" s="1011">
        <v>-49510.86</v>
      </c>
      <c r="J51" s="1054">
        <v>-49510.86</v>
      </c>
      <c r="R51" s="22">
        <v>8312512</v>
      </c>
      <c r="S51" s="22" t="s">
        <v>23</v>
      </c>
      <c r="T51" s="1054">
        <v>15036.5</v>
      </c>
      <c r="U51" s="1054">
        <v>-2504.9599999999991</v>
      </c>
      <c r="V51" s="1011"/>
      <c r="Y51" s="1011"/>
      <c r="Z51" s="1011"/>
    </row>
    <row r="52" spans="1:26" x14ac:dyDescent="0.2">
      <c r="A52" s="25" t="s">
        <v>38</v>
      </c>
      <c r="B52" s="53" t="s">
        <v>1153</v>
      </c>
      <c r="C52" s="25"/>
      <c r="D52" s="26">
        <v>2522</v>
      </c>
      <c r="E52" s="1053">
        <v>-4196.25</v>
      </c>
      <c r="G52" s="1011">
        <v>13680.75</v>
      </c>
      <c r="H52" s="1011">
        <v>-17877</v>
      </c>
      <c r="J52" s="1054">
        <v>-17877</v>
      </c>
      <c r="R52" s="22">
        <v>8312518</v>
      </c>
      <c r="S52" s="22" t="s">
        <v>33</v>
      </c>
      <c r="T52" s="1054">
        <v>8073.5</v>
      </c>
      <c r="U52" s="1054">
        <v>-13847.71</v>
      </c>
      <c r="V52" s="1011"/>
      <c r="Y52" s="1011"/>
      <c r="Z52" s="1011"/>
    </row>
    <row r="53" spans="1:26" x14ac:dyDescent="0.2">
      <c r="A53" s="25" t="s">
        <v>39</v>
      </c>
      <c r="B53" s="53" t="s">
        <v>1154</v>
      </c>
      <c r="C53" s="25"/>
      <c r="D53" s="26">
        <v>2436</v>
      </c>
      <c r="E53" s="1053">
        <v>7637.3099999999995</v>
      </c>
      <c r="G53" s="1011">
        <v>12941.25</v>
      </c>
      <c r="H53" s="1011">
        <v>-5303.9400000000005</v>
      </c>
      <c r="J53" s="1054">
        <v>-5303.9400000000005</v>
      </c>
      <c r="R53" s="22">
        <v>8312522</v>
      </c>
      <c r="S53" s="22" t="s">
        <v>38</v>
      </c>
      <c r="T53" s="1054">
        <v>13680.75</v>
      </c>
      <c r="U53" s="1054">
        <v>-17877</v>
      </c>
      <c r="V53" s="1011"/>
      <c r="Y53" s="1011"/>
      <c r="Z53" s="1011"/>
    </row>
    <row r="54" spans="1:26" x14ac:dyDescent="0.2">
      <c r="A54" s="25" t="s">
        <v>40</v>
      </c>
      <c r="B54" s="53" t="s">
        <v>1155</v>
      </c>
      <c r="C54" s="25"/>
      <c r="D54" s="26">
        <v>2452</v>
      </c>
      <c r="E54" s="1053">
        <v>-3597.1400000000012</v>
      </c>
      <c r="G54" s="1011">
        <v>11339</v>
      </c>
      <c r="H54" s="1011">
        <v>-14936.140000000001</v>
      </c>
      <c r="J54" s="1054">
        <v>-14936.140000000001</v>
      </c>
      <c r="R54" s="22">
        <v>8312619</v>
      </c>
      <c r="S54" s="22" t="s">
        <v>32</v>
      </c>
      <c r="T54" s="1054">
        <v>20089.75</v>
      </c>
      <c r="U54" s="1054">
        <v>-24990.29</v>
      </c>
      <c r="V54" s="1011"/>
      <c r="Y54" s="1011"/>
      <c r="Z54" s="1011"/>
    </row>
    <row r="55" spans="1:26" x14ac:dyDescent="0.2">
      <c r="A55" s="25" t="s">
        <v>41</v>
      </c>
      <c r="B55" s="53" t="s">
        <v>1156</v>
      </c>
      <c r="C55" s="25"/>
      <c r="D55" s="26">
        <v>2627</v>
      </c>
      <c r="E55" s="1053">
        <v>4566.6500000000015</v>
      </c>
      <c r="G55" s="1011">
        <v>17748</v>
      </c>
      <c r="H55" s="1011">
        <v>-13181.349999999999</v>
      </c>
      <c r="J55" s="1054">
        <v>-13181.349999999999</v>
      </c>
      <c r="R55" s="22">
        <v>8312627</v>
      </c>
      <c r="S55" s="22" t="s">
        <v>41</v>
      </c>
      <c r="T55" s="1054">
        <v>17748</v>
      </c>
      <c r="U55" s="1054">
        <v>-13181.349999999999</v>
      </c>
      <c r="V55" s="1011"/>
      <c r="Y55" s="1011"/>
      <c r="Z55" s="1011"/>
    </row>
    <row r="56" spans="1:26" ht="22.5" x14ac:dyDescent="0.2">
      <c r="A56" s="25" t="s">
        <v>42</v>
      </c>
      <c r="B56" s="53" t="s">
        <v>1157</v>
      </c>
      <c r="C56" s="1058" t="s">
        <v>1129</v>
      </c>
      <c r="D56" s="26">
        <v>2009</v>
      </c>
      <c r="E56" s="1053">
        <v>2415.6999999999989</v>
      </c>
      <c r="G56" s="1011">
        <v>2415.6999999999989</v>
      </c>
      <c r="H56" s="1059">
        <v>0</v>
      </c>
      <c r="I56" s="22" t="s">
        <v>1126</v>
      </c>
      <c r="J56" s="1054">
        <v>0</v>
      </c>
      <c r="K56" s="1054">
        <v>0</v>
      </c>
      <c r="L56" s="1054">
        <v>0</v>
      </c>
      <c r="R56" s="22">
        <v>8312629</v>
      </c>
      <c r="S56" s="22" t="s">
        <v>13</v>
      </c>
      <c r="T56" s="1054">
        <v>38700.5</v>
      </c>
      <c r="U56" s="1054">
        <v>-7412.9599999999991</v>
      </c>
      <c r="V56" s="1011"/>
      <c r="Y56" s="1011"/>
      <c r="Z56" s="1011"/>
    </row>
    <row r="57" spans="1:26" x14ac:dyDescent="0.2">
      <c r="A57" s="25" t="s">
        <v>101</v>
      </c>
      <c r="B57" s="53" t="s">
        <v>1158</v>
      </c>
      <c r="C57" s="25"/>
      <c r="D57" s="26">
        <v>2473</v>
      </c>
      <c r="E57" s="1053">
        <v>-2183.8050000000003</v>
      </c>
      <c r="G57" s="1011">
        <v>11832</v>
      </c>
      <c r="H57" s="1011">
        <v>-14015.805</v>
      </c>
      <c r="J57" s="1054">
        <v>-14015.805</v>
      </c>
      <c r="R57" s="22">
        <v>8313158</v>
      </c>
      <c r="S57" s="22" t="s">
        <v>98</v>
      </c>
      <c r="T57" s="1054">
        <v>1036.3000000000002</v>
      </c>
      <c r="U57" s="1054">
        <v>-1696.6439999999998</v>
      </c>
      <c r="V57" s="1011"/>
      <c r="Y57" s="1011"/>
      <c r="Z57" s="1011"/>
    </row>
    <row r="58" spans="1:26" x14ac:dyDescent="0.2">
      <c r="A58" s="25" t="s">
        <v>44</v>
      </c>
      <c r="B58" s="53" t="s">
        <v>1159</v>
      </c>
      <c r="C58" s="25"/>
      <c r="D58" s="26">
        <v>2471</v>
      </c>
      <c r="E58" s="1053">
        <v>-2183.8050000000003</v>
      </c>
      <c r="G58" s="1011">
        <v>11832</v>
      </c>
      <c r="H58" s="1011">
        <v>-14015.805</v>
      </c>
      <c r="J58" s="1054">
        <v>-14015.805</v>
      </c>
      <c r="R58" s="22">
        <v>8313526</v>
      </c>
      <c r="S58" s="22" t="s">
        <v>103</v>
      </c>
      <c r="T58" s="1054">
        <v>857.96</v>
      </c>
      <c r="U58" s="1054">
        <v>-827.05600000000004</v>
      </c>
      <c r="V58" s="1011"/>
      <c r="Y58" s="1011"/>
      <c r="Z58" s="1011"/>
    </row>
    <row r="59" spans="1:26" x14ac:dyDescent="0.2">
      <c r="A59" s="25" t="s">
        <v>43</v>
      </c>
      <c r="B59" s="53" t="s">
        <v>1160</v>
      </c>
      <c r="C59" s="25"/>
      <c r="D59" s="26">
        <v>2420</v>
      </c>
      <c r="E59" s="1053">
        <v>8236.75</v>
      </c>
      <c r="G59" s="1011">
        <v>18610.75</v>
      </c>
      <c r="H59" s="1011">
        <v>-10374</v>
      </c>
      <c r="J59" s="1054">
        <v>-10374</v>
      </c>
      <c r="R59" s="22">
        <v>8313528</v>
      </c>
      <c r="S59" s="22" t="s">
        <v>106</v>
      </c>
      <c r="T59" s="1054">
        <v>7444.2999999999993</v>
      </c>
      <c r="U59" s="1054">
        <v>-3290.5600000000004</v>
      </c>
      <c r="V59" s="1011"/>
      <c r="Y59" s="1011"/>
      <c r="Z59" s="1011"/>
    </row>
    <row r="60" spans="1:26" x14ac:dyDescent="0.2">
      <c r="A60" s="25" t="s">
        <v>45</v>
      </c>
      <c r="B60" s="53" t="s">
        <v>1161</v>
      </c>
      <c r="C60" s="25"/>
      <c r="D60" s="26">
        <v>2003</v>
      </c>
      <c r="E60" s="1053">
        <v>9766.52</v>
      </c>
      <c r="G60" s="1011">
        <v>24896.5</v>
      </c>
      <c r="H60" s="1011">
        <v>-15129.98</v>
      </c>
      <c r="J60" s="1054">
        <v>-15129.98</v>
      </c>
      <c r="R60" s="22">
        <v>8313530</v>
      </c>
      <c r="S60" s="22" t="s">
        <v>1162</v>
      </c>
      <c r="T60" s="1054">
        <v>2366.3999999999996</v>
      </c>
      <c r="U60" s="1054">
        <v>-1510.4279999999987</v>
      </c>
      <c r="V60" s="1011"/>
      <c r="Y60" s="1011"/>
      <c r="Z60" s="1011"/>
    </row>
    <row r="61" spans="1:26" x14ac:dyDescent="0.2">
      <c r="A61" s="25" t="s">
        <v>46</v>
      </c>
      <c r="B61" s="53" t="s">
        <v>1163</v>
      </c>
      <c r="C61" s="25"/>
      <c r="D61" s="26">
        <v>2423</v>
      </c>
      <c r="E61" s="1053">
        <v>2873.6800000000012</v>
      </c>
      <c r="G61" s="1011">
        <v>10599.5</v>
      </c>
      <c r="H61" s="1011">
        <v>-7725.8199999999988</v>
      </c>
      <c r="J61" s="1054">
        <v>-7725.8199999999988</v>
      </c>
      <c r="R61" s="22">
        <v>8313532</v>
      </c>
      <c r="S61" s="22" t="s">
        <v>108</v>
      </c>
      <c r="T61" s="1054">
        <v>3500.2999999999993</v>
      </c>
      <c r="U61" s="1054">
        <v>-3267.2819999999974</v>
      </c>
      <c r="V61" s="1011"/>
      <c r="Y61" s="1011"/>
      <c r="Z61" s="1011"/>
    </row>
    <row r="62" spans="1:26" x14ac:dyDescent="0.2">
      <c r="A62" s="25" t="s">
        <v>47</v>
      </c>
      <c r="B62" s="53" t="s">
        <v>1164</v>
      </c>
      <c r="C62" s="25"/>
      <c r="D62" s="26">
        <v>2424</v>
      </c>
      <c r="E62" s="1053">
        <v>2873.6800000000012</v>
      </c>
      <c r="G62" s="1011">
        <v>10599.5</v>
      </c>
      <c r="H62" s="1011">
        <v>-7725.8199999999988</v>
      </c>
      <c r="J62" s="1054">
        <v>-7725.8199999999988</v>
      </c>
      <c r="R62" s="22">
        <v>8313534</v>
      </c>
      <c r="S62" s="22" t="s">
        <v>107</v>
      </c>
      <c r="T62" s="1054">
        <v>2440.3500000000004</v>
      </c>
      <c r="U62" s="1054">
        <v>-1398.3119999999992</v>
      </c>
      <c r="V62" s="1011"/>
      <c r="Y62" s="1011"/>
      <c r="Z62" s="1011"/>
    </row>
    <row r="63" spans="1:26" x14ac:dyDescent="0.2">
      <c r="A63" s="25" t="s">
        <v>48</v>
      </c>
      <c r="B63" s="53" t="s">
        <v>1165</v>
      </c>
      <c r="C63" s="25"/>
      <c r="D63" s="26">
        <v>2439</v>
      </c>
      <c r="E63" s="1053">
        <v>5955.5</v>
      </c>
      <c r="G63" s="1011">
        <v>7953</v>
      </c>
      <c r="H63" s="1011">
        <v>-1997.4999999999998</v>
      </c>
      <c r="J63" s="1054">
        <v>-1997.4999999999998</v>
      </c>
      <c r="R63" s="22">
        <v>8313535</v>
      </c>
      <c r="S63" s="22" t="s">
        <v>104</v>
      </c>
      <c r="T63" s="1054">
        <v>2144.5499999999993</v>
      </c>
      <c r="U63" s="1054">
        <v>-1282.7980000000005</v>
      </c>
      <c r="V63" s="1011"/>
      <c r="Y63" s="1011"/>
      <c r="Z63" s="1011"/>
    </row>
    <row r="64" spans="1:26" x14ac:dyDescent="0.2">
      <c r="A64" s="25" t="s">
        <v>49</v>
      </c>
      <c r="B64" s="53" t="s">
        <v>1166</v>
      </c>
      <c r="C64" s="25"/>
      <c r="D64" s="26">
        <v>2440</v>
      </c>
      <c r="E64" s="1053">
        <v>17212.620000000003</v>
      </c>
      <c r="G64" s="1011">
        <v>31305.5</v>
      </c>
      <c r="H64" s="1011">
        <v>-14092.879999999997</v>
      </c>
      <c r="J64" s="1054">
        <v>-14092.879999999997</v>
      </c>
      <c r="R64" s="22">
        <v>8313542</v>
      </c>
      <c r="S64" s="22" t="s">
        <v>105</v>
      </c>
      <c r="T64" s="1054">
        <v>4141.2000000000007</v>
      </c>
      <c r="U64" s="1054">
        <v>-1875.0679999999988</v>
      </c>
      <c r="V64" s="1011"/>
      <c r="Y64" s="1011"/>
      <c r="Z64" s="1011"/>
    </row>
    <row r="65" spans="1:26" x14ac:dyDescent="0.2">
      <c r="A65" s="25" t="s">
        <v>102</v>
      </c>
      <c r="B65" s="53" t="s">
        <v>1167</v>
      </c>
      <c r="C65" s="25"/>
      <c r="D65" s="26">
        <v>2462</v>
      </c>
      <c r="E65" s="1053">
        <v>2822.9300000000003</v>
      </c>
      <c r="G65" s="1011">
        <v>11832</v>
      </c>
      <c r="H65" s="1011">
        <v>-9009.07</v>
      </c>
      <c r="J65" s="1054">
        <v>-9009.07</v>
      </c>
      <c r="R65" s="22">
        <v>8313543</v>
      </c>
      <c r="S65" s="22" t="s">
        <v>1168</v>
      </c>
      <c r="T65" s="1054">
        <v>2267.7999999999993</v>
      </c>
      <c r="U65" s="1054">
        <v>-3346.6619999999984</v>
      </c>
      <c r="V65" s="1011"/>
      <c r="Y65" s="1011"/>
      <c r="Z65" s="1011"/>
    </row>
    <row r="66" spans="1:26" x14ac:dyDescent="0.2">
      <c r="A66" s="25" t="s">
        <v>50</v>
      </c>
      <c r="B66" s="53" t="s">
        <v>1169</v>
      </c>
      <c r="C66" s="25"/>
      <c r="D66" s="26">
        <v>2463</v>
      </c>
      <c r="E66" s="1053">
        <v>2822.9300000000003</v>
      </c>
      <c r="G66" s="1011">
        <v>11832</v>
      </c>
      <c r="H66" s="1011">
        <v>-9009.07</v>
      </c>
      <c r="J66" s="1054">
        <v>-9009.07</v>
      </c>
      <c r="R66" s="22">
        <v>8313544</v>
      </c>
      <c r="S66" s="22" t="s">
        <v>36</v>
      </c>
      <c r="T66" s="1054">
        <v>57188</v>
      </c>
      <c r="U66" s="1054">
        <v>-68907.740000000005</v>
      </c>
      <c r="V66" s="1011"/>
      <c r="Y66" s="1011"/>
      <c r="Z66" s="1011"/>
    </row>
    <row r="67" spans="1:26" x14ac:dyDescent="0.2">
      <c r="A67" s="25" t="s">
        <v>51</v>
      </c>
      <c r="B67" s="53" t="s">
        <v>1170</v>
      </c>
      <c r="C67" s="25"/>
      <c r="D67" s="26">
        <v>2505</v>
      </c>
      <c r="E67" s="1053">
        <v>-8549.0099999999984</v>
      </c>
      <c r="G67" s="1011">
        <v>21815.25</v>
      </c>
      <c r="H67" s="1011">
        <v>-30364.26</v>
      </c>
      <c r="J67" s="1054">
        <v>-30364.26</v>
      </c>
      <c r="R67" s="22">
        <v>8313546</v>
      </c>
      <c r="S67" s="22" t="s">
        <v>65</v>
      </c>
      <c r="T67" s="1054">
        <v>61625</v>
      </c>
      <c r="U67" s="1054">
        <v>-86599.98000000001</v>
      </c>
      <c r="V67" s="1011"/>
      <c r="Y67" s="1011"/>
      <c r="Z67" s="1011"/>
    </row>
    <row r="68" spans="1:26" x14ac:dyDescent="0.2">
      <c r="A68" s="25" t="s">
        <v>52</v>
      </c>
      <c r="B68" s="53" t="s">
        <v>1171</v>
      </c>
      <c r="C68" s="25"/>
      <c r="D68" s="26">
        <v>2000</v>
      </c>
      <c r="E68" s="1053">
        <v>6138.08</v>
      </c>
      <c r="G68" s="1011">
        <v>14543.5</v>
      </c>
      <c r="H68" s="1011">
        <v>-8405.42</v>
      </c>
      <c r="J68" s="1054">
        <v>-8405.42</v>
      </c>
      <c r="R68" s="22">
        <v>8315201</v>
      </c>
      <c r="S68" s="22" t="s">
        <v>20</v>
      </c>
      <c r="T68" s="1054">
        <v>16762</v>
      </c>
      <c r="U68" s="1054">
        <v>-17258.400000000001</v>
      </c>
      <c r="V68" s="1011"/>
      <c r="Y68" s="1011"/>
      <c r="Z68" s="1011"/>
    </row>
    <row r="69" spans="1:26" ht="33.75" x14ac:dyDescent="0.2">
      <c r="A69" s="25" t="s">
        <v>1172</v>
      </c>
      <c r="B69" s="53" t="s">
        <v>1173</v>
      </c>
      <c r="C69" s="1058" t="s">
        <v>1174</v>
      </c>
      <c r="D69" s="26">
        <v>2458</v>
      </c>
      <c r="E69" s="1053">
        <v>29638.763040000002</v>
      </c>
      <c r="G69" s="1011">
        <v>7953</v>
      </c>
      <c r="H69" s="1063">
        <v>21685.763040000002</v>
      </c>
      <c r="I69" s="22" t="s">
        <v>1175</v>
      </c>
      <c r="J69" s="1056">
        <v>4517.0030400000005</v>
      </c>
      <c r="K69" s="1056">
        <v>4440.76</v>
      </c>
      <c r="L69" s="1064">
        <v>4381</v>
      </c>
      <c r="M69" s="1061" t="s">
        <v>665</v>
      </c>
      <c r="N69" s="1061">
        <v>4266.5</v>
      </c>
      <c r="O69" s="1061">
        <v>4080.5</v>
      </c>
      <c r="R69" s="22">
        <v>8315203</v>
      </c>
      <c r="S69" s="22" t="s">
        <v>29</v>
      </c>
      <c r="T69" s="1054">
        <v>4782.0999999999985</v>
      </c>
      <c r="U69" s="1054">
        <v>-76.048000000002503</v>
      </c>
      <c r="V69" s="1011"/>
      <c r="Y69" s="1011"/>
      <c r="Z69" s="1011"/>
    </row>
    <row r="70" spans="1:26" x14ac:dyDescent="0.2">
      <c r="A70" s="25" t="s">
        <v>54</v>
      </c>
      <c r="B70" s="53" t="s">
        <v>1176</v>
      </c>
      <c r="C70" s="25"/>
      <c r="D70" s="26">
        <v>2001</v>
      </c>
      <c r="E70" s="1053">
        <v>-1745.6599999999999</v>
      </c>
      <c r="G70" s="1011">
        <v>14420.25</v>
      </c>
      <c r="H70" s="1011">
        <v>-16165.91</v>
      </c>
      <c r="J70" s="1054">
        <v>-16165.91</v>
      </c>
      <c r="R70" s="22">
        <v>8315209</v>
      </c>
      <c r="S70" s="22" t="s">
        <v>57</v>
      </c>
      <c r="T70" s="1054">
        <v>2489.6499999999996</v>
      </c>
      <c r="U70" s="1054">
        <v>-39.591999999998734</v>
      </c>
      <c r="V70" s="1011"/>
      <c r="Y70" s="1011"/>
      <c r="Z70" s="1011"/>
    </row>
    <row r="71" spans="1:26" x14ac:dyDescent="0.2">
      <c r="A71" s="25" t="s">
        <v>55</v>
      </c>
      <c r="B71" s="53" t="s">
        <v>1177</v>
      </c>
      <c r="C71" s="25"/>
      <c r="D71" s="26">
        <v>2429</v>
      </c>
      <c r="E71" s="1053">
        <v>-3356.6800000000003</v>
      </c>
      <c r="G71" s="1011">
        <v>6748</v>
      </c>
      <c r="H71" s="1011">
        <v>-10104.68</v>
      </c>
      <c r="J71" s="1054">
        <v>-10104.68</v>
      </c>
      <c r="R71" s="22">
        <v>8314177</v>
      </c>
      <c r="S71" s="22" t="s">
        <v>114</v>
      </c>
      <c r="T71" s="1054">
        <v>18438.199999999997</v>
      </c>
      <c r="U71" s="1054">
        <v>-6193.2999999999911</v>
      </c>
      <c r="V71" s="1011"/>
      <c r="Y71" s="1011"/>
      <c r="Z71" s="1011"/>
    </row>
    <row r="72" spans="1:26" x14ac:dyDescent="0.2">
      <c r="A72" s="25" t="s">
        <v>56</v>
      </c>
      <c r="B72" s="53" t="s">
        <v>1178</v>
      </c>
      <c r="C72" s="25"/>
      <c r="D72" s="26">
        <v>2444</v>
      </c>
      <c r="E72" s="1053">
        <v>5900.59</v>
      </c>
      <c r="G72" s="1011">
        <v>8874</v>
      </c>
      <c r="H72" s="1011">
        <v>-2973.41</v>
      </c>
      <c r="J72" s="1054">
        <v>-2973.41</v>
      </c>
      <c r="R72" s="22">
        <v>8314178</v>
      </c>
      <c r="S72" s="22" t="s">
        <v>111</v>
      </c>
      <c r="T72" s="1054">
        <v>20804.599999999991</v>
      </c>
      <c r="U72" s="1054">
        <v>-21403.16</v>
      </c>
      <c r="V72" s="1011"/>
      <c r="Y72" s="1011"/>
      <c r="Z72" s="1011"/>
    </row>
    <row r="73" spans="1:26" ht="33.75" x14ac:dyDescent="0.2">
      <c r="A73" s="25" t="s">
        <v>57</v>
      </c>
      <c r="B73" s="53" t="s">
        <v>1179</v>
      </c>
      <c r="C73" s="1058" t="s">
        <v>1140</v>
      </c>
      <c r="D73" s="26">
        <v>5209</v>
      </c>
      <c r="E73" s="1053">
        <v>2450.0580000000009</v>
      </c>
      <c r="G73" s="1011">
        <v>2489.6499999999996</v>
      </c>
      <c r="H73" s="1011">
        <v>-39.591999999998734</v>
      </c>
      <c r="J73" s="1054">
        <v>-39.591999999998734</v>
      </c>
      <c r="R73" s="22">
        <v>8314182</v>
      </c>
      <c r="S73" s="22" t="s">
        <v>70</v>
      </c>
      <c r="T73" s="1054">
        <v>99586</v>
      </c>
      <c r="U73" s="1054">
        <v>-1583.679999999993</v>
      </c>
      <c r="V73" s="1011"/>
      <c r="Y73" s="1011"/>
      <c r="Z73" s="1011"/>
    </row>
    <row r="74" spans="1:26" x14ac:dyDescent="0.2">
      <c r="A74" s="25" t="s">
        <v>58</v>
      </c>
      <c r="B74" s="53" t="s">
        <v>1180</v>
      </c>
      <c r="C74" s="25"/>
      <c r="D74" s="26">
        <v>2469</v>
      </c>
      <c r="E74" s="1053">
        <v>-2409.9300000000003</v>
      </c>
      <c r="G74" s="1011">
        <v>11339</v>
      </c>
      <c r="H74" s="1011">
        <v>-13748.93</v>
      </c>
      <c r="J74" s="1054">
        <v>-13748.93</v>
      </c>
      <c r="R74" s="22">
        <v>8314608</v>
      </c>
      <c r="S74" s="22" t="s">
        <v>962</v>
      </c>
      <c r="T74" s="1054">
        <v>25636</v>
      </c>
      <c r="U74" s="1054">
        <v>-5097.5499999999993</v>
      </c>
      <c r="V74" s="1011"/>
      <c r="Y74" s="1011"/>
      <c r="Z74" s="1011"/>
    </row>
    <row r="75" spans="1:26" x14ac:dyDescent="0.2">
      <c r="A75" s="22" t="s">
        <v>451</v>
      </c>
      <c r="B75" s="53" t="s">
        <v>1181</v>
      </c>
      <c r="D75" s="26">
        <v>2430</v>
      </c>
      <c r="E75" s="1053">
        <v>16330.909999999998</v>
      </c>
      <c r="G75" s="1011">
        <v>19227</v>
      </c>
      <c r="H75" s="1011">
        <v>-2896.0900000000015</v>
      </c>
      <c r="J75" s="1054">
        <v>-2896.0900000000015</v>
      </c>
      <c r="R75" s="22">
        <v>8315406</v>
      </c>
      <c r="S75" s="22" t="s">
        <v>112</v>
      </c>
      <c r="T75" s="1054">
        <v>25143</v>
      </c>
      <c r="U75" s="1054">
        <v>-399.83999999999651</v>
      </c>
      <c r="V75" s="1011"/>
      <c r="Y75" s="1011"/>
      <c r="Z75" s="1011"/>
    </row>
    <row r="76" spans="1:26" x14ac:dyDescent="0.2">
      <c r="A76" s="25" t="s">
        <v>59</v>
      </c>
      <c r="B76" s="53" t="s">
        <v>1182</v>
      </c>
      <c r="C76" s="25"/>
      <c r="D76" s="26">
        <v>2466</v>
      </c>
      <c r="E76" s="1053">
        <v>4447.1099999999997</v>
      </c>
      <c r="G76" s="1011">
        <v>10846</v>
      </c>
      <c r="H76" s="1011">
        <v>-6398.89</v>
      </c>
      <c r="J76" s="1054">
        <v>-6398.89</v>
      </c>
      <c r="R76" s="22">
        <v>8315407</v>
      </c>
      <c r="S76" s="22" t="s">
        <v>113</v>
      </c>
      <c r="T76" s="1054">
        <v>27361.5</v>
      </c>
      <c r="U76" s="1054">
        <v>-435.11999999999534</v>
      </c>
      <c r="V76" s="1011"/>
      <c r="Y76" s="1011"/>
      <c r="Z76" s="1011"/>
    </row>
    <row r="77" spans="1:26" x14ac:dyDescent="0.2">
      <c r="A77" s="25" t="s">
        <v>60</v>
      </c>
      <c r="B77" s="53" t="s">
        <v>1183</v>
      </c>
      <c r="C77" s="25"/>
      <c r="D77" s="26">
        <v>3543</v>
      </c>
      <c r="E77" s="1053">
        <v>-1078.8619999999992</v>
      </c>
      <c r="G77" s="1011">
        <v>2267.7999999999993</v>
      </c>
      <c r="H77" s="1011">
        <v>-3346.6619999999984</v>
      </c>
      <c r="J77" s="1054">
        <v>-3346.6619999999984</v>
      </c>
      <c r="R77" s="22">
        <v>8312007</v>
      </c>
      <c r="S77" s="22" t="s">
        <v>96</v>
      </c>
      <c r="T77" s="1054">
        <v>2514.2999999999993</v>
      </c>
      <c r="U77" s="1054">
        <v>0</v>
      </c>
      <c r="V77" s="1011"/>
      <c r="Y77" s="1011"/>
      <c r="Z77" s="1011"/>
    </row>
    <row r="78" spans="1:26" ht="22.5" x14ac:dyDescent="0.2">
      <c r="A78" s="25" t="s">
        <v>62</v>
      </c>
      <c r="B78" s="53" t="s">
        <v>1184</v>
      </c>
      <c r="C78" s="1058" t="s">
        <v>1129</v>
      </c>
      <c r="D78" s="26">
        <v>3531</v>
      </c>
      <c r="E78" s="1053">
        <v>2859.3999999999996</v>
      </c>
      <c r="G78" s="1011">
        <v>2859.3999999999996</v>
      </c>
      <c r="H78" s="1059">
        <v>0</v>
      </c>
      <c r="I78" s="22" t="s">
        <v>1126</v>
      </c>
      <c r="J78" s="1054">
        <v>0</v>
      </c>
      <c r="K78" s="1054">
        <v>0</v>
      </c>
      <c r="L78" s="1054">
        <v>0</v>
      </c>
      <c r="R78" s="22">
        <v>8312008</v>
      </c>
      <c r="S78" s="22" t="s">
        <v>1185</v>
      </c>
      <c r="T78" s="1054">
        <v>1972</v>
      </c>
      <c r="U78" s="1054">
        <v>0</v>
      </c>
      <c r="V78" s="1011"/>
      <c r="Y78" s="1011"/>
      <c r="Z78" s="1011"/>
    </row>
    <row r="79" spans="1:26" x14ac:dyDescent="0.2">
      <c r="A79" s="25" t="s">
        <v>103</v>
      </c>
      <c r="B79" s="53" t="s">
        <v>1186</v>
      </c>
      <c r="C79" s="25"/>
      <c r="D79" s="26">
        <v>3526</v>
      </c>
      <c r="E79" s="1053">
        <v>30.903999999999996</v>
      </c>
      <c r="G79" s="1011">
        <v>857.96</v>
      </c>
      <c r="H79" s="1011">
        <v>-827.05600000000004</v>
      </c>
      <c r="J79" s="1054">
        <v>-827.05600000000004</v>
      </c>
      <c r="R79" s="22">
        <v>8312009</v>
      </c>
      <c r="S79" s="22" t="s">
        <v>42</v>
      </c>
      <c r="T79" s="1054">
        <v>2415.6999999999989</v>
      </c>
      <c r="U79" s="1054">
        <v>0</v>
      </c>
      <c r="V79" s="1011"/>
      <c r="Y79" s="1011"/>
      <c r="Z79" s="1011"/>
    </row>
    <row r="80" spans="1:26" x14ac:dyDescent="0.2">
      <c r="A80" s="25" t="s">
        <v>104</v>
      </c>
      <c r="B80" s="53" t="s">
        <v>1187</v>
      </c>
      <c r="C80" s="25"/>
      <c r="D80" s="26">
        <v>3535</v>
      </c>
      <c r="E80" s="1053">
        <v>861.75199999999882</v>
      </c>
      <c r="G80" s="1011">
        <v>2144.5499999999993</v>
      </c>
      <c r="H80" s="1011">
        <v>-1282.7980000000005</v>
      </c>
      <c r="J80" s="1054">
        <v>-1282.7980000000005</v>
      </c>
      <c r="R80" s="22">
        <v>8312010</v>
      </c>
      <c r="S80" s="22" t="s">
        <v>99</v>
      </c>
      <c r="T80" s="1054">
        <v>2933.3499999999985</v>
      </c>
      <c r="U80" s="1054">
        <v>0</v>
      </c>
      <c r="V80" s="1011"/>
      <c r="Y80" s="1011"/>
      <c r="Z80" s="1011"/>
    </row>
    <row r="81" spans="1:26" ht="22.5" x14ac:dyDescent="0.2">
      <c r="A81" s="1029" t="s">
        <v>64</v>
      </c>
      <c r="B81" s="53" t="s">
        <v>1188</v>
      </c>
      <c r="C81" s="1058" t="s">
        <v>1129</v>
      </c>
      <c r="D81" s="26">
        <v>2008</v>
      </c>
      <c r="E81" s="1053">
        <v>1972</v>
      </c>
      <c r="G81" s="1011">
        <v>1972</v>
      </c>
      <c r="H81" s="1059">
        <v>0</v>
      </c>
      <c r="I81" s="22" t="s">
        <v>1126</v>
      </c>
      <c r="J81" s="1054">
        <v>0</v>
      </c>
      <c r="K81" s="1054">
        <v>0</v>
      </c>
      <c r="L81" s="1054">
        <v>0</v>
      </c>
      <c r="R81" s="22">
        <v>8313531</v>
      </c>
      <c r="S81" s="22" t="s">
        <v>1189</v>
      </c>
      <c r="T81" s="1054">
        <v>2859.3999999999996</v>
      </c>
      <c r="U81" s="1054">
        <v>0</v>
      </c>
      <c r="V81" s="1011"/>
      <c r="Y81" s="1011"/>
      <c r="Z81" s="1011"/>
    </row>
    <row r="82" spans="1:26" x14ac:dyDescent="0.2">
      <c r="A82" s="25" t="s">
        <v>105</v>
      </c>
      <c r="B82" s="53" t="s">
        <v>1190</v>
      </c>
      <c r="C82" s="25"/>
      <c r="D82" s="26">
        <v>3542</v>
      </c>
      <c r="E82" s="1053">
        <v>2266.1320000000019</v>
      </c>
      <c r="G82" s="1011">
        <v>4141.2000000000007</v>
      </c>
      <c r="H82" s="1011">
        <v>-1875.0679999999988</v>
      </c>
      <c r="J82" s="1054">
        <v>-1875.0679999999988</v>
      </c>
      <c r="R82" s="22">
        <v>8314001</v>
      </c>
      <c r="S82" s="22" t="s">
        <v>969</v>
      </c>
      <c r="T82" s="1054">
        <v>43137.5</v>
      </c>
      <c r="U82" s="1054">
        <v>0</v>
      </c>
      <c r="V82" s="1011"/>
      <c r="Y82" s="1011"/>
      <c r="Z82" s="1011"/>
    </row>
    <row r="83" spans="1:26" x14ac:dyDescent="0.2">
      <c r="A83" s="25" t="s">
        <v>106</v>
      </c>
      <c r="B83" s="53" t="s">
        <v>1191</v>
      </c>
      <c r="C83" s="25"/>
      <c r="D83" s="26">
        <v>3528</v>
      </c>
      <c r="E83" s="1053">
        <v>4153.7399999999989</v>
      </c>
      <c r="G83" s="1011">
        <v>7444.2999999999993</v>
      </c>
      <c r="H83" s="1011">
        <v>-3290.5600000000004</v>
      </c>
      <c r="J83" s="1054">
        <v>-3290.5600000000004</v>
      </c>
      <c r="R83" s="22">
        <v>8314002</v>
      </c>
      <c r="S83" s="22" t="s">
        <v>452</v>
      </c>
      <c r="T83" s="1054">
        <v>44863</v>
      </c>
      <c r="U83" s="1054">
        <v>0</v>
      </c>
      <c r="V83" s="1011"/>
      <c r="Y83" s="1011"/>
      <c r="Z83" s="1011"/>
    </row>
    <row r="84" spans="1:26" x14ac:dyDescent="0.2">
      <c r="A84" s="25" t="s">
        <v>107</v>
      </c>
      <c r="B84" s="53" t="s">
        <v>1192</v>
      </c>
      <c r="C84" s="25"/>
      <c r="D84" s="26">
        <v>3534</v>
      </c>
      <c r="E84" s="1053">
        <v>1042.0380000000011</v>
      </c>
      <c r="G84" s="1011">
        <v>2440.3500000000004</v>
      </c>
      <c r="H84" s="1011">
        <v>-1398.3119999999992</v>
      </c>
      <c r="J84" s="1054">
        <v>-1398.3119999999992</v>
      </c>
      <c r="R84" s="22">
        <v>8314181</v>
      </c>
      <c r="S84" s="22" t="s">
        <v>967</v>
      </c>
      <c r="T84" s="1054">
        <v>17945.199999999997</v>
      </c>
      <c r="U84" s="1054">
        <v>0</v>
      </c>
      <c r="V84" s="1011"/>
      <c r="Y84" s="1011"/>
      <c r="Z84" s="1011"/>
    </row>
    <row r="85" spans="1:26" x14ac:dyDescent="0.2">
      <c r="A85" s="25" t="s">
        <v>108</v>
      </c>
      <c r="B85" s="53" t="s">
        <v>1193</v>
      </c>
      <c r="C85" s="25"/>
      <c r="D85" s="26">
        <v>3532</v>
      </c>
      <c r="E85" s="1053">
        <v>233.01800000000185</v>
      </c>
      <c r="G85" s="1011">
        <v>3500.2999999999993</v>
      </c>
      <c r="H85" s="1011">
        <v>-3267.2819999999974</v>
      </c>
      <c r="J85" s="1054">
        <v>-3267.2819999999974</v>
      </c>
      <c r="R85" s="22">
        <v>8314607</v>
      </c>
      <c r="S85" s="22" t="s">
        <v>1194</v>
      </c>
      <c r="T85" s="1054">
        <v>24650</v>
      </c>
      <c r="U85" s="1054">
        <v>0</v>
      </c>
      <c r="V85" s="1011"/>
      <c r="Y85" s="1011"/>
      <c r="Z85" s="1011"/>
    </row>
    <row r="86" spans="1:26" ht="33.75" x14ac:dyDescent="0.2">
      <c r="A86" s="25" t="s">
        <v>65</v>
      </c>
      <c r="B86" s="53" t="s">
        <v>1195</v>
      </c>
      <c r="C86" s="1058" t="s">
        <v>1196</v>
      </c>
      <c r="D86" s="26">
        <v>3546</v>
      </c>
      <c r="E86" s="1053">
        <v>-24974.98000000001</v>
      </c>
      <c r="G86" s="1011">
        <v>61625</v>
      </c>
      <c r="H86" s="1011">
        <v>-86599.98000000001</v>
      </c>
      <c r="I86" s="22" t="s">
        <v>1197</v>
      </c>
      <c r="J86" s="1056">
        <v>-21063.440000000002</v>
      </c>
      <c r="K86" s="1056">
        <v>-19311</v>
      </c>
      <c r="L86" s="1056">
        <v>-18778</v>
      </c>
      <c r="M86" s="1060" t="s">
        <v>665</v>
      </c>
      <c r="N86" s="1061">
        <v>-17753</v>
      </c>
      <c r="O86" s="1061">
        <v>-9694.5400000000009</v>
      </c>
      <c r="R86" s="22">
        <v>8315402</v>
      </c>
      <c r="S86" s="22" t="s">
        <v>75</v>
      </c>
      <c r="T86" s="1054">
        <v>39440</v>
      </c>
      <c r="U86" s="1054">
        <v>0</v>
      </c>
      <c r="V86" s="1011"/>
      <c r="Y86" s="1011"/>
      <c r="Z86" s="1011"/>
    </row>
    <row r="87" spans="1:26" x14ac:dyDescent="0.2">
      <c r="A87" s="25" t="s">
        <v>109</v>
      </c>
      <c r="B87" s="53" t="s">
        <v>1198</v>
      </c>
      <c r="C87" s="25"/>
      <c r="D87" s="26">
        <v>3530</v>
      </c>
      <c r="E87" s="1053">
        <v>855.97200000000089</v>
      </c>
      <c r="G87" s="1011">
        <v>2366.3999999999996</v>
      </c>
      <c r="H87" s="1011">
        <v>-1510.4279999999987</v>
      </c>
      <c r="J87" s="1054">
        <v>-1510.4279999999987</v>
      </c>
      <c r="R87" s="22">
        <v>8315412</v>
      </c>
      <c r="S87" s="22" t="s">
        <v>74</v>
      </c>
      <c r="T87" s="1054">
        <v>21001.799999999988</v>
      </c>
      <c r="U87" s="1054">
        <v>0</v>
      </c>
      <c r="V87" s="1011"/>
      <c r="Y87" s="1011"/>
      <c r="Z87" s="1011"/>
    </row>
    <row r="88" spans="1:26" x14ac:dyDescent="0.2">
      <c r="A88" s="25" t="s">
        <v>67</v>
      </c>
      <c r="B88" s="53" t="s">
        <v>1199</v>
      </c>
      <c r="C88" s="25"/>
      <c r="D88" s="26">
        <v>2459</v>
      </c>
      <c r="E88" s="1053">
        <v>1014.8200000000015</v>
      </c>
      <c r="G88" s="1011">
        <v>12941.25</v>
      </c>
      <c r="H88" s="1011">
        <v>-11926.429999999998</v>
      </c>
      <c r="J88" s="1054">
        <v>-11926.429999999998</v>
      </c>
      <c r="R88" s="22">
        <v>8315414</v>
      </c>
      <c r="S88" s="22" t="s">
        <v>73</v>
      </c>
      <c r="T88" s="1054">
        <v>24354.199999999997</v>
      </c>
      <c r="U88" s="1054">
        <v>0</v>
      </c>
      <c r="V88" s="1011"/>
      <c r="Y88" s="1011"/>
      <c r="Z88" s="1011"/>
    </row>
    <row r="89" spans="1:26" x14ac:dyDescent="0.2">
      <c r="A89" s="25" t="s">
        <v>1200</v>
      </c>
      <c r="B89" s="1065">
        <v>8311104</v>
      </c>
      <c r="C89" s="25"/>
      <c r="D89" s="26">
        <v>1104</v>
      </c>
      <c r="E89" s="1053">
        <v>0</v>
      </c>
      <c r="G89" s="1011">
        <v>0</v>
      </c>
      <c r="H89" s="1011">
        <v>0</v>
      </c>
      <c r="J89" s="1054">
        <v>0</v>
      </c>
      <c r="R89" s="22">
        <v>8314000</v>
      </c>
      <c r="S89" s="22" t="s">
        <v>454</v>
      </c>
      <c r="T89" s="1054">
        <v>8627.5</v>
      </c>
      <c r="U89" s="1054">
        <v>0</v>
      </c>
      <c r="V89" s="1011"/>
      <c r="Y89" s="1011"/>
      <c r="Z89" s="1011"/>
    </row>
    <row r="90" spans="1:26" x14ac:dyDescent="0.2">
      <c r="A90" s="805" t="s">
        <v>912</v>
      </c>
      <c r="B90" s="53" t="s">
        <v>1201</v>
      </c>
      <c r="C90" s="805"/>
      <c r="D90" s="27">
        <v>4000</v>
      </c>
      <c r="E90" s="1066">
        <v>8627.5</v>
      </c>
      <c r="G90" s="1059">
        <v>8627.5</v>
      </c>
      <c r="H90" s="1011">
        <v>0</v>
      </c>
      <c r="I90" s="22" t="s">
        <v>1202</v>
      </c>
      <c r="J90" s="1054">
        <v>0</v>
      </c>
      <c r="R90" s="22">
        <v>8316905</v>
      </c>
      <c r="S90" s="22" t="s">
        <v>453</v>
      </c>
      <c r="T90" s="1054">
        <v>39193.5</v>
      </c>
      <c r="U90" s="1054">
        <v>0</v>
      </c>
      <c r="V90" s="1011"/>
      <c r="Y90" s="1011"/>
      <c r="Z90" s="1011"/>
    </row>
    <row r="91" spans="1:26" x14ac:dyDescent="0.2">
      <c r="A91" s="25"/>
      <c r="B91" s="53"/>
      <c r="C91" s="25"/>
      <c r="D91" s="26"/>
      <c r="H91" s="1011">
        <v>0</v>
      </c>
      <c r="R91" s="22">
        <v>8312447</v>
      </c>
      <c r="S91" s="22" t="s">
        <v>1203</v>
      </c>
      <c r="T91" s="1054">
        <v>16269</v>
      </c>
      <c r="U91" s="1054">
        <v>-9322.08</v>
      </c>
      <c r="V91" s="1011"/>
      <c r="Y91" s="1011"/>
      <c r="Z91" s="1011"/>
    </row>
    <row r="92" spans="1:26" x14ac:dyDescent="0.2">
      <c r="A92" s="24" t="s">
        <v>110</v>
      </c>
      <c r="B92" s="53"/>
      <c r="C92" s="24"/>
      <c r="D92" s="24" t="s">
        <v>110</v>
      </c>
      <c r="E92" s="1053">
        <v>259577.47303999987</v>
      </c>
      <c r="G92" s="1030">
        <v>991264.96</v>
      </c>
      <c r="H92" s="1030">
        <v>-731687.48696000001</v>
      </c>
      <c r="J92" s="1057">
        <v>-665887.90696000028</v>
      </c>
      <c r="K92" s="1057">
        <v>-19439.79</v>
      </c>
      <c r="L92" s="1057">
        <v>-14397</v>
      </c>
      <c r="M92" s="1057">
        <v>-4665.8900000000003</v>
      </c>
      <c r="N92" s="1057">
        <v>-18119.47</v>
      </c>
      <c r="O92" s="1057">
        <v>-10067.120000000001</v>
      </c>
      <c r="R92" s="22">
        <v>8313525</v>
      </c>
      <c r="S92" s="22" t="s">
        <v>1204</v>
      </c>
      <c r="T92" s="1054">
        <v>4856.0499999999993</v>
      </c>
      <c r="U92" s="1054">
        <v>0</v>
      </c>
      <c r="V92" s="1011"/>
      <c r="Y92" s="1011"/>
      <c r="Z92" s="1011"/>
    </row>
    <row r="93" spans="1:26" x14ac:dyDescent="0.2">
      <c r="A93" s="25"/>
      <c r="B93" s="53"/>
      <c r="C93" s="25"/>
      <c r="D93" s="26"/>
      <c r="T93" s="1054">
        <v>1462819.46</v>
      </c>
      <c r="U93" s="1054">
        <v>-766800.13695999992</v>
      </c>
      <c r="V93" s="1011"/>
      <c r="Y93" s="1011"/>
      <c r="Z93" s="1011"/>
    </row>
    <row r="94" spans="1:26" ht="67.5" x14ac:dyDescent="0.2">
      <c r="A94" s="25" t="s">
        <v>75</v>
      </c>
      <c r="B94" s="53" t="s">
        <v>1205</v>
      </c>
      <c r="C94" s="1058" t="s">
        <v>1206</v>
      </c>
      <c r="D94" s="26">
        <v>5402</v>
      </c>
      <c r="E94" s="1053">
        <v>39440</v>
      </c>
      <c r="G94" s="1011">
        <v>39440</v>
      </c>
      <c r="H94" s="1059">
        <v>0</v>
      </c>
      <c r="I94" s="22" t="s">
        <v>1126</v>
      </c>
      <c r="J94" s="1054">
        <v>0</v>
      </c>
      <c r="L94" s="1060">
        <v>0</v>
      </c>
      <c r="T94" s="1054">
        <v>0</v>
      </c>
      <c r="U94" s="1054">
        <v>0</v>
      </c>
      <c r="V94" s="1011"/>
      <c r="Y94" s="1011"/>
      <c r="Z94" s="1011"/>
    </row>
    <row r="95" spans="1:26" x14ac:dyDescent="0.2">
      <c r="A95" s="25" t="s">
        <v>68</v>
      </c>
      <c r="B95" s="53" t="s">
        <v>1207</v>
      </c>
      <c r="C95" s="25"/>
      <c r="D95" s="26">
        <v>4608</v>
      </c>
      <c r="E95" s="1053">
        <v>20538.45</v>
      </c>
      <c r="G95" s="1011">
        <v>25636</v>
      </c>
      <c r="H95" s="1011">
        <v>-5097.5499999999993</v>
      </c>
      <c r="J95" s="1054">
        <v>-5097.5499999999993</v>
      </c>
    </row>
    <row r="96" spans="1:26" ht="33.75" x14ac:dyDescent="0.2">
      <c r="A96" s="25" t="s">
        <v>111</v>
      </c>
      <c r="B96" s="53" t="s">
        <v>1208</v>
      </c>
      <c r="C96" s="1058" t="s">
        <v>1209</v>
      </c>
      <c r="D96" s="26">
        <v>4178</v>
      </c>
      <c r="E96" s="1053">
        <v>-598.56000000000859</v>
      </c>
      <c r="G96" s="1011">
        <v>20804.599999999991</v>
      </c>
      <c r="H96" s="1011">
        <v>-21403.16</v>
      </c>
      <c r="J96" s="1054">
        <v>-4886.3600000000006</v>
      </c>
      <c r="K96" s="1060">
        <v>-4380.3</v>
      </c>
      <c r="L96" s="1060">
        <v>-4259.3999999999996</v>
      </c>
      <c r="M96" s="1060"/>
      <c r="N96" s="1060">
        <v>-4026.9</v>
      </c>
      <c r="O96" s="1060">
        <v>-3850.2</v>
      </c>
    </row>
    <row r="97" spans="1:21" ht="22.5" x14ac:dyDescent="0.2">
      <c r="A97" s="25" t="s">
        <v>964</v>
      </c>
      <c r="B97" s="53" t="s">
        <v>1210</v>
      </c>
      <c r="C97" s="1067" t="s">
        <v>1211</v>
      </c>
      <c r="D97" s="26">
        <v>1105</v>
      </c>
      <c r="E97" s="1053">
        <v>3598.8999999999996</v>
      </c>
      <c r="G97" s="1011">
        <v>3598.8999999999996</v>
      </c>
      <c r="H97" s="1011">
        <v>0</v>
      </c>
      <c r="J97" s="1054">
        <v>0</v>
      </c>
      <c r="T97" s="22"/>
      <c r="U97" s="22"/>
    </row>
    <row r="98" spans="1:21" x14ac:dyDescent="0.2">
      <c r="A98" s="25" t="s">
        <v>1212</v>
      </c>
      <c r="B98" s="53">
        <v>8311103</v>
      </c>
      <c r="C98" s="1067"/>
      <c r="D98" s="26">
        <v>1103</v>
      </c>
      <c r="E98" s="1053">
        <v>2811.3499999999995</v>
      </c>
      <c r="G98" s="1011">
        <v>1421.8999999999999</v>
      </c>
      <c r="H98" s="1011">
        <v>1389.4499999999998</v>
      </c>
      <c r="J98" s="1054">
        <v>1389.4499999999998</v>
      </c>
      <c r="T98" s="22"/>
      <c r="U98" s="22"/>
    </row>
    <row r="99" spans="1:21" ht="22.5" x14ac:dyDescent="0.2">
      <c r="A99" s="25" t="s">
        <v>597</v>
      </c>
      <c r="B99" s="53" t="s">
        <v>1213</v>
      </c>
      <c r="C99" s="1067" t="s">
        <v>1214</v>
      </c>
      <c r="D99" s="26">
        <v>6905</v>
      </c>
      <c r="E99" s="1053">
        <v>39193.5</v>
      </c>
      <c r="G99" s="1011">
        <v>39193.5</v>
      </c>
      <c r="H99" s="1011">
        <v>0</v>
      </c>
      <c r="J99" s="1054">
        <v>0</v>
      </c>
      <c r="T99" s="22"/>
      <c r="U99" s="22"/>
    </row>
    <row r="100" spans="1:21" ht="22.5" x14ac:dyDescent="0.2">
      <c r="A100" s="25" t="s">
        <v>69</v>
      </c>
      <c r="B100" s="53" t="s">
        <v>1215</v>
      </c>
      <c r="C100" s="1058" t="s">
        <v>1216</v>
      </c>
      <c r="D100" s="26">
        <v>4181</v>
      </c>
      <c r="E100" s="1053">
        <v>17945.199999999997</v>
      </c>
      <c r="G100" s="1011">
        <v>17945.199999999997</v>
      </c>
      <c r="H100" s="1059">
        <v>0</v>
      </c>
      <c r="I100" s="22" t="s">
        <v>1126</v>
      </c>
      <c r="J100" s="1054">
        <v>0</v>
      </c>
      <c r="K100" s="1060">
        <v>0</v>
      </c>
      <c r="L100" s="1060">
        <v>0</v>
      </c>
      <c r="M100" s="1060"/>
      <c r="N100" s="1060">
        <v>0</v>
      </c>
      <c r="T100" s="22"/>
      <c r="U100" s="22"/>
    </row>
    <row r="101" spans="1:21" x14ac:dyDescent="0.2">
      <c r="A101" s="25" t="s">
        <v>70</v>
      </c>
      <c r="B101" s="53" t="s">
        <v>1217</v>
      </c>
      <c r="C101" s="25"/>
      <c r="D101" s="26">
        <v>4182</v>
      </c>
      <c r="E101" s="1053">
        <v>98002.32</v>
      </c>
      <c r="G101" s="1011">
        <v>99586</v>
      </c>
      <c r="H101" s="1011">
        <v>-1583.679999999993</v>
      </c>
      <c r="J101" s="1054">
        <v>-1583.679999999993</v>
      </c>
      <c r="T101" s="22"/>
      <c r="U101" s="22"/>
    </row>
    <row r="102" spans="1:21" ht="67.5" x14ac:dyDescent="0.2">
      <c r="A102" s="25" t="s">
        <v>71</v>
      </c>
      <c r="B102" s="53" t="s">
        <v>1218</v>
      </c>
      <c r="C102" s="1058" t="s">
        <v>1219</v>
      </c>
      <c r="D102" s="39">
        <v>4001</v>
      </c>
      <c r="E102" s="1053">
        <v>43137.5</v>
      </c>
      <c r="G102" s="1011">
        <v>43137.5</v>
      </c>
      <c r="H102" s="1059">
        <v>0</v>
      </c>
      <c r="I102" s="22" t="s">
        <v>1126</v>
      </c>
      <c r="J102" s="1054">
        <v>0</v>
      </c>
      <c r="K102" s="1054">
        <v>0</v>
      </c>
      <c r="L102" s="1054">
        <v>0</v>
      </c>
      <c r="N102" s="1054">
        <v>0</v>
      </c>
      <c r="O102" s="1054">
        <v>0</v>
      </c>
      <c r="T102" s="22"/>
      <c r="U102" s="22"/>
    </row>
    <row r="103" spans="1:21" ht="33.75" x14ac:dyDescent="0.2">
      <c r="A103" s="25" t="s">
        <v>112</v>
      </c>
      <c r="B103" s="53" t="s">
        <v>1220</v>
      </c>
      <c r="C103" s="1058" t="s">
        <v>1221</v>
      </c>
      <c r="D103" s="26">
        <v>5406</v>
      </c>
      <c r="E103" s="1053">
        <v>24743.160000000003</v>
      </c>
      <c r="G103" s="1011">
        <v>25143</v>
      </c>
      <c r="H103" s="1011">
        <v>-399.83999999999651</v>
      </c>
      <c r="J103" s="1054">
        <v>-399.83999999999651</v>
      </c>
      <c r="T103" s="22"/>
      <c r="U103" s="22"/>
    </row>
    <row r="104" spans="1:21" ht="33.75" x14ac:dyDescent="0.2">
      <c r="A104" s="25" t="s">
        <v>113</v>
      </c>
      <c r="B104" s="53" t="s">
        <v>1222</v>
      </c>
      <c r="C104" s="1058" t="s">
        <v>1221</v>
      </c>
      <c r="D104" s="26">
        <v>5407</v>
      </c>
      <c r="E104" s="1053">
        <v>26926.380000000005</v>
      </c>
      <c r="G104" s="1011">
        <v>27361.5</v>
      </c>
      <c r="H104" s="1011">
        <v>-435.11999999999534</v>
      </c>
      <c r="J104" s="1054">
        <v>-435.11999999999534</v>
      </c>
      <c r="T104" s="22"/>
      <c r="U104" s="22"/>
    </row>
    <row r="105" spans="1:21" ht="22.5" x14ac:dyDescent="0.2">
      <c r="A105" s="25" t="s">
        <v>72</v>
      </c>
      <c r="B105" s="53" t="s">
        <v>1223</v>
      </c>
      <c r="C105" s="1058" t="s">
        <v>1224</v>
      </c>
      <c r="D105" s="26">
        <v>4607</v>
      </c>
      <c r="E105" s="1053">
        <v>24650</v>
      </c>
      <c r="G105" s="1011">
        <v>24650</v>
      </c>
      <c r="H105" s="1059">
        <v>0</v>
      </c>
      <c r="I105" s="22" t="s">
        <v>1126</v>
      </c>
      <c r="J105" s="1054">
        <v>0</v>
      </c>
      <c r="K105" s="1054">
        <v>0</v>
      </c>
      <c r="L105" s="1054">
        <v>0</v>
      </c>
      <c r="T105" s="22"/>
      <c r="U105" s="22"/>
    </row>
    <row r="106" spans="1:21" ht="51" x14ac:dyDescent="0.2">
      <c r="A106" s="25" t="s">
        <v>1225</v>
      </c>
      <c r="B106" s="53" t="s">
        <v>1226</v>
      </c>
      <c r="C106" s="1058" t="s">
        <v>1227</v>
      </c>
      <c r="D106" s="39">
        <v>4002</v>
      </c>
      <c r="E106" s="1053">
        <v>44863</v>
      </c>
      <c r="G106" s="1011">
        <v>44863</v>
      </c>
      <c r="H106" s="1059">
        <v>0</v>
      </c>
      <c r="I106" s="22" t="s">
        <v>1126</v>
      </c>
      <c r="J106" s="1054">
        <v>0</v>
      </c>
      <c r="K106" s="1054">
        <v>0</v>
      </c>
      <c r="L106" s="1060" t="s">
        <v>665</v>
      </c>
      <c r="M106" s="1060" t="s">
        <v>1228</v>
      </c>
      <c r="N106" s="1060" t="s">
        <v>1228</v>
      </c>
      <c r="O106" s="1060" t="s">
        <v>1228</v>
      </c>
      <c r="T106" s="22"/>
      <c r="U106" s="22"/>
    </row>
    <row r="107" spans="1:21" ht="67.5" x14ac:dyDescent="0.2">
      <c r="A107" s="25" t="s">
        <v>74</v>
      </c>
      <c r="B107" s="53" t="s">
        <v>1229</v>
      </c>
      <c r="C107" s="1058" t="s">
        <v>1230</v>
      </c>
      <c r="D107" s="26">
        <v>5412</v>
      </c>
      <c r="E107" s="1053">
        <v>21001.799999999988</v>
      </c>
      <c r="G107" s="1011">
        <v>21001.799999999988</v>
      </c>
      <c r="H107" s="1059">
        <v>0</v>
      </c>
      <c r="I107" s="22" t="s">
        <v>1126</v>
      </c>
      <c r="J107" s="1054">
        <v>0</v>
      </c>
      <c r="T107" s="22"/>
      <c r="U107" s="22"/>
    </row>
    <row r="108" spans="1:21" ht="56.25" x14ac:dyDescent="0.2">
      <c r="A108" s="25" t="s">
        <v>73</v>
      </c>
      <c r="B108" s="53" t="s">
        <v>1231</v>
      </c>
      <c r="C108" s="1058" t="s">
        <v>1232</v>
      </c>
      <c r="D108" s="26">
        <v>5414</v>
      </c>
      <c r="E108" s="1053">
        <v>24354.199999999997</v>
      </c>
      <c r="G108" s="1011">
        <v>24354.199999999997</v>
      </c>
      <c r="H108" s="1059">
        <v>0</v>
      </c>
      <c r="I108" s="22" t="s">
        <v>1126</v>
      </c>
      <c r="J108" s="1054">
        <v>0</v>
      </c>
      <c r="T108" s="22"/>
      <c r="U108" s="22"/>
    </row>
    <row r="109" spans="1:21" x14ac:dyDescent="0.2">
      <c r="A109" s="25"/>
      <c r="B109" s="53"/>
      <c r="C109" s="25"/>
      <c r="D109" s="26"/>
      <c r="T109" s="22"/>
      <c r="U109" s="22"/>
    </row>
    <row r="110" spans="1:21" x14ac:dyDescent="0.2">
      <c r="A110" s="24" t="s">
        <v>115</v>
      </c>
      <c r="B110" s="53"/>
      <c r="C110" s="24"/>
      <c r="D110" s="24" t="s">
        <v>115</v>
      </c>
      <c r="E110" s="1053">
        <v>430607.19999999995</v>
      </c>
      <c r="G110" s="1030">
        <v>458137.1</v>
      </c>
      <c r="H110" s="1030">
        <v>-27529.899999999983</v>
      </c>
      <c r="J110" s="1057">
        <v>-11013.099999999984</v>
      </c>
      <c r="K110" s="1057">
        <v>-4380.3</v>
      </c>
      <c r="L110" s="1057">
        <v>-4259.3999999999996</v>
      </c>
      <c r="M110" s="1057">
        <v>0</v>
      </c>
      <c r="N110" s="1057">
        <v>-4026.9</v>
      </c>
      <c r="O110" s="1057">
        <v>-3850.2</v>
      </c>
      <c r="T110" s="22"/>
      <c r="U110" s="22"/>
    </row>
    <row r="111" spans="1:21" x14ac:dyDescent="0.2">
      <c r="A111" s="24"/>
      <c r="B111" s="53"/>
      <c r="C111" s="24"/>
      <c r="D111" s="24"/>
      <c r="G111" s="1030"/>
      <c r="H111" s="1030"/>
      <c r="T111" s="22"/>
      <c r="U111" s="22"/>
    </row>
    <row r="112" spans="1:21" x14ac:dyDescent="0.2">
      <c r="A112" s="9" t="s">
        <v>114</v>
      </c>
      <c r="B112" s="53" t="s">
        <v>1233</v>
      </c>
      <c r="C112" s="9"/>
      <c r="D112" s="26">
        <v>4177</v>
      </c>
      <c r="E112" s="1053">
        <v>12244.900000000005</v>
      </c>
      <c r="G112" s="1011">
        <v>18438.199999999997</v>
      </c>
      <c r="H112" s="1011">
        <v>-6193.2999999999911</v>
      </c>
      <c r="J112" s="1054">
        <v>-6193.2999999999911</v>
      </c>
      <c r="T112" s="22"/>
      <c r="U112" s="22"/>
    </row>
    <row r="113" spans="1:21" x14ac:dyDescent="0.2">
      <c r="A113" s="1"/>
      <c r="B113" s="53"/>
      <c r="C113" s="1"/>
      <c r="D113" s="24"/>
      <c r="G113" s="1030"/>
      <c r="H113" s="1030"/>
      <c r="T113" s="22"/>
      <c r="U113" s="22"/>
    </row>
    <row r="114" spans="1:21" x14ac:dyDescent="0.2">
      <c r="A114" s="1" t="s">
        <v>914</v>
      </c>
      <c r="B114" s="53"/>
      <c r="C114" s="1"/>
      <c r="D114" s="1" t="s">
        <v>915</v>
      </c>
      <c r="E114" s="1053">
        <v>12244.900000000005</v>
      </c>
      <c r="G114" s="1030">
        <v>18438.199999999997</v>
      </c>
      <c r="H114" s="1030">
        <v>-6193.2999999999911</v>
      </c>
      <c r="J114" s="1057">
        <v>-6193.2999999999911</v>
      </c>
      <c r="K114" s="1057">
        <v>0</v>
      </c>
      <c r="L114" s="1057">
        <v>0</v>
      </c>
      <c r="M114" s="1057">
        <v>0</v>
      </c>
      <c r="N114" s="1057">
        <v>0</v>
      </c>
      <c r="O114" s="1057">
        <v>0</v>
      </c>
      <c r="T114" s="22"/>
      <c r="U114" s="22"/>
    </row>
    <row r="115" spans="1:21" x14ac:dyDescent="0.2">
      <c r="A115" s="25"/>
      <c r="B115" s="53"/>
      <c r="C115" s="25"/>
      <c r="D115" s="26"/>
      <c r="G115" s="1030"/>
      <c r="H115" s="1030"/>
      <c r="T115" s="22"/>
      <c r="U115" s="22"/>
    </row>
    <row r="116" spans="1:21" x14ac:dyDescent="0.2">
      <c r="A116" s="24" t="s">
        <v>116</v>
      </c>
      <c r="B116" s="24"/>
      <c r="C116" s="24"/>
      <c r="D116" s="24" t="s">
        <v>117</v>
      </c>
      <c r="E116" s="1053">
        <v>750322.13303999987</v>
      </c>
      <c r="G116" s="1030">
        <v>1535954.76</v>
      </c>
      <c r="H116" s="1030">
        <v>-785632.62696000002</v>
      </c>
      <c r="J116" s="1057">
        <v>-703316.24696000025</v>
      </c>
      <c r="K116" s="1057">
        <v>-23820.09</v>
      </c>
      <c r="L116" s="1057">
        <v>-18656.400000000001</v>
      </c>
      <c r="M116" s="1057">
        <v>-4665.8900000000003</v>
      </c>
      <c r="N116" s="1057">
        <v>-22146.370000000003</v>
      </c>
      <c r="O116" s="1057">
        <v>-13917.32</v>
      </c>
      <c r="T116" s="22"/>
      <c r="U116" s="22"/>
    </row>
    <row r="117" spans="1:21" x14ac:dyDescent="0.2">
      <c r="A117" s="23"/>
      <c r="B117" s="23"/>
      <c r="C117" s="23"/>
      <c r="D117" s="1000"/>
      <c r="E117" s="23"/>
      <c r="F117" s="23"/>
      <c r="T117" s="22"/>
      <c r="U117" s="22"/>
    </row>
    <row r="118" spans="1:21" x14ac:dyDescent="0.2">
      <c r="A118" s="23"/>
      <c r="B118" s="23"/>
      <c r="C118" s="23"/>
      <c r="D118" s="1000"/>
      <c r="E118" s="23"/>
      <c r="F118" s="23"/>
      <c r="T118" s="22"/>
      <c r="U118" s="22"/>
    </row>
    <row r="119" spans="1:21" x14ac:dyDescent="0.2">
      <c r="A119" s="23" t="s">
        <v>1234</v>
      </c>
      <c r="B119" s="23"/>
      <c r="C119" s="23"/>
      <c r="D119" s="1000"/>
      <c r="E119" s="1011">
        <v>696019.32303999993</v>
      </c>
      <c r="F119" s="23"/>
      <c r="G119" s="1011">
        <v>1462819.4600000002</v>
      </c>
      <c r="H119" s="1059">
        <v>-766800.13696000003</v>
      </c>
      <c r="J119" s="1011">
        <v>-684483.75696000026</v>
      </c>
      <c r="K119" s="1011">
        <v>-23820.09</v>
      </c>
      <c r="L119" s="1011">
        <v>-18656.400000000001</v>
      </c>
      <c r="M119" s="1011">
        <v>-4665.8900000000003</v>
      </c>
      <c r="N119" s="1011">
        <v>-22146.370000000003</v>
      </c>
      <c r="O119" s="1011">
        <v>-13917.32</v>
      </c>
      <c r="T119" s="22"/>
      <c r="U119" s="22"/>
    </row>
    <row r="120" spans="1:21" x14ac:dyDescent="0.2">
      <c r="A120" s="23"/>
      <c r="B120" s="1068">
        <v>26.25</v>
      </c>
      <c r="C120" s="23"/>
      <c r="D120" s="1000"/>
      <c r="E120" s="23"/>
      <c r="F120" s="23"/>
      <c r="T120" s="22"/>
      <c r="U120" s="22"/>
    </row>
    <row r="123" spans="1:21" ht="204" x14ac:dyDescent="0.2">
      <c r="A123" s="1069" t="s">
        <v>1235</v>
      </c>
      <c r="T123" s="22"/>
      <c r="U123" s="22"/>
    </row>
    <row r="138" spans="1:4" x14ac:dyDescent="0.2">
      <c r="A138" s="79" t="s">
        <v>249</v>
      </c>
      <c r="B138" s="79"/>
      <c r="D138" s="79">
        <v>206189</v>
      </c>
    </row>
    <row r="139" spans="1:4" x14ac:dyDescent="0.2">
      <c r="A139" s="1158" t="s">
        <v>10</v>
      </c>
      <c r="B139" s="94"/>
      <c r="D139" s="94">
        <v>2012</v>
      </c>
    </row>
    <row r="140" spans="1:4" x14ac:dyDescent="0.2">
      <c r="A140" s="1158" t="s">
        <v>73</v>
      </c>
      <c r="B140" s="94"/>
      <c r="D140" s="94">
        <v>5414</v>
      </c>
    </row>
    <row r="141" spans="1:4" x14ac:dyDescent="0.2">
      <c r="A141" s="1158" t="s">
        <v>912</v>
      </c>
      <c r="B141" s="94"/>
      <c r="D141" s="94">
        <v>4000</v>
      </c>
    </row>
    <row r="142" spans="1:4" x14ac:dyDescent="0.2">
      <c r="A142" s="79" t="s">
        <v>11</v>
      </c>
      <c r="B142" s="79"/>
      <c r="D142" s="79">
        <v>2443</v>
      </c>
    </row>
    <row r="143" spans="1:4" x14ac:dyDescent="0.2">
      <c r="A143" s="1158" t="s">
        <v>94</v>
      </c>
      <c r="B143" s="94"/>
      <c r="D143" s="94">
        <v>2442</v>
      </c>
    </row>
    <row r="144" spans="1:4" x14ac:dyDescent="0.2">
      <c r="A144" s="80" t="s">
        <v>252</v>
      </c>
      <c r="B144" s="80"/>
      <c r="D144" s="80" t="s">
        <v>253</v>
      </c>
    </row>
    <row r="145" spans="1:4" x14ac:dyDescent="0.2">
      <c r="A145" s="79" t="s">
        <v>13</v>
      </c>
      <c r="B145" s="79"/>
      <c r="D145" s="79">
        <v>2629</v>
      </c>
    </row>
    <row r="146" spans="1:4" x14ac:dyDescent="0.2">
      <c r="A146" s="1158" t="s">
        <v>14</v>
      </c>
      <c r="B146" s="94"/>
      <c r="D146" s="94">
        <v>2509</v>
      </c>
    </row>
    <row r="147" spans="1:4" x14ac:dyDescent="0.2">
      <c r="A147" s="79" t="s">
        <v>2</v>
      </c>
      <c r="B147" s="79"/>
      <c r="D147" s="79">
        <v>1014</v>
      </c>
    </row>
    <row r="148" spans="1:4" x14ac:dyDescent="0.2">
      <c r="A148" s="1158" t="s">
        <v>15</v>
      </c>
      <c r="B148" s="94"/>
      <c r="D148" s="94">
        <v>2005</v>
      </c>
    </row>
    <row r="149" spans="1:4" x14ac:dyDescent="0.2">
      <c r="A149" s="79" t="s">
        <v>16</v>
      </c>
      <c r="B149" s="79"/>
      <c r="D149" s="79">
        <v>2464</v>
      </c>
    </row>
    <row r="150" spans="1:4" x14ac:dyDescent="0.2">
      <c r="A150" s="661" t="s">
        <v>763</v>
      </c>
      <c r="B150" s="697"/>
      <c r="D150" s="697" t="s">
        <v>765</v>
      </c>
    </row>
    <row r="151" spans="1:4" x14ac:dyDescent="0.2">
      <c r="A151" s="79" t="s">
        <v>17</v>
      </c>
      <c r="B151" s="79"/>
      <c r="D151" s="79">
        <v>2004</v>
      </c>
    </row>
    <row r="152" spans="1:4" x14ac:dyDescent="0.2">
      <c r="A152" s="79" t="s">
        <v>18</v>
      </c>
      <c r="B152" s="79"/>
      <c r="D152" s="79">
        <v>2405</v>
      </c>
    </row>
    <row r="153" spans="1:4" x14ac:dyDescent="0.2">
      <c r="A153" s="79" t="s">
        <v>254</v>
      </c>
      <c r="B153" s="79"/>
      <c r="D153" s="79" t="s">
        <v>256</v>
      </c>
    </row>
    <row r="154" spans="1:4" ht="15" x14ac:dyDescent="0.25">
      <c r="A154" s="1160" t="s">
        <v>261</v>
      </c>
      <c r="B154" s="1162"/>
      <c r="D154" s="1162" t="s">
        <v>766</v>
      </c>
    </row>
    <row r="155" spans="1:4" x14ac:dyDescent="0.2">
      <c r="A155" s="1163" t="s">
        <v>257</v>
      </c>
      <c r="B155" s="1164"/>
      <c r="D155" s="1164" t="s">
        <v>258</v>
      </c>
    </row>
    <row r="156" spans="1:4" x14ac:dyDescent="0.2">
      <c r="A156" s="1160" t="s">
        <v>259</v>
      </c>
      <c r="B156" s="1165"/>
      <c r="D156" s="1165" t="s">
        <v>260</v>
      </c>
    </row>
    <row r="157" spans="1:4" x14ac:dyDescent="0.2">
      <c r="A157" s="79" t="s">
        <v>19</v>
      </c>
      <c r="B157" s="79"/>
      <c r="D157" s="79">
        <v>2011</v>
      </c>
    </row>
    <row r="158" spans="1:4" x14ac:dyDescent="0.2">
      <c r="A158" s="80" t="s">
        <v>262</v>
      </c>
      <c r="B158" s="80"/>
      <c r="D158" s="80" t="s">
        <v>263</v>
      </c>
    </row>
    <row r="159" spans="1:4" x14ac:dyDescent="0.2">
      <c r="A159" s="79" t="s">
        <v>20</v>
      </c>
      <c r="B159" s="79"/>
      <c r="D159" s="79">
        <v>5201</v>
      </c>
    </row>
    <row r="160" spans="1:4" x14ac:dyDescent="0.2">
      <c r="A160" s="79" t="s">
        <v>264</v>
      </c>
      <c r="B160" s="79"/>
      <c r="D160" s="79">
        <v>206124</v>
      </c>
    </row>
    <row r="161" spans="1:4" x14ac:dyDescent="0.2">
      <c r="A161" s="79" t="s">
        <v>21</v>
      </c>
      <c r="B161" s="79"/>
      <c r="D161" s="79">
        <v>2433</v>
      </c>
    </row>
    <row r="162" spans="1:4" x14ac:dyDescent="0.2">
      <c r="A162" s="1158" t="s">
        <v>22</v>
      </c>
      <c r="B162" s="94"/>
      <c r="D162" s="94">
        <v>2432</v>
      </c>
    </row>
    <row r="163" spans="1:4" x14ac:dyDescent="0.2">
      <c r="A163" s="79" t="s">
        <v>267</v>
      </c>
      <c r="B163" s="79"/>
      <c r="D163" s="79" t="s">
        <v>269</v>
      </c>
    </row>
    <row r="164" spans="1:4" x14ac:dyDescent="0.2">
      <c r="A164" s="79" t="s">
        <v>199</v>
      </c>
      <c r="B164" s="79"/>
      <c r="D164" s="79">
        <v>2447</v>
      </c>
    </row>
    <row r="165" spans="1:4" x14ac:dyDescent="0.2">
      <c r="A165" s="79" t="s">
        <v>23</v>
      </c>
      <c r="B165" s="79"/>
      <c r="D165" s="79">
        <v>2512</v>
      </c>
    </row>
    <row r="166" spans="1:4" x14ac:dyDescent="0.2">
      <c r="A166" s="79" t="s">
        <v>270</v>
      </c>
      <c r="B166" s="79"/>
      <c r="D166" s="79">
        <v>206126</v>
      </c>
    </row>
    <row r="167" spans="1:4" x14ac:dyDescent="0.2">
      <c r="A167" s="79" t="s">
        <v>272</v>
      </c>
      <c r="B167" s="79"/>
      <c r="D167" s="79">
        <v>206111</v>
      </c>
    </row>
    <row r="168" spans="1:4" x14ac:dyDescent="0.2">
      <c r="A168" s="79" t="s">
        <v>274</v>
      </c>
      <c r="B168" s="79"/>
      <c r="D168" s="79">
        <v>206091</v>
      </c>
    </row>
    <row r="169" spans="1:4" x14ac:dyDescent="0.2">
      <c r="A169" s="79" t="s">
        <v>24</v>
      </c>
      <c r="B169" s="79"/>
      <c r="D169" s="79">
        <v>2456</v>
      </c>
    </row>
    <row r="170" spans="1:4" x14ac:dyDescent="0.2">
      <c r="A170" s="79" t="s">
        <v>3</v>
      </c>
      <c r="B170" s="79"/>
      <c r="D170" s="79">
        <v>1017</v>
      </c>
    </row>
    <row r="171" spans="1:4" x14ac:dyDescent="0.2">
      <c r="A171" s="79" t="s">
        <v>25</v>
      </c>
      <c r="B171" s="79"/>
      <c r="D171" s="79">
        <v>2449</v>
      </c>
    </row>
    <row r="172" spans="1:4" x14ac:dyDescent="0.2">
      <c r="A172" s="1158" t="s">
        <v>26</v>
      </c>
      <c r="B172" s="79"/>
      <c r="D172" s="79">
        <v>2448</v>
      </c>
    </row>
    <row r="173" spans="1:4" x14ac:dyDescent="0.2">
      <c r="A173" s="79" t="s">
        <v>4</v>
      </c>
      <c r="B173" s="79"/>
      <c r="D173" s="79">
        <v>1006</v>
      </c>
    </row>
    <row r="174" spans="1:4" x14ac:dyDescent="0.2">
      <c r="A174" s="79" t="s">
        <v>27</v>
      </c>
      <c r="B174" s="79"/>
      <c r="D174" s="79">
        <v>2467</v>
      </c>
    </row>
    <row r="175" spans="1:4" x14ac:dyDescent="0.2">
      <c r="A175" s="1158" t="s">
        <v>75</v>
      </c>
      <c r="B175" s="94"/>
      <c r="D175" s="94">
        <v>5402</v>
      </c>
    </row>
    <row r="176" spans="1:4" x14ac:dyDescent="0.2">
      <c r="A176" s="1158" t="s">
        <v>28</v>
      </c>
      <c r="B176" s="94"/>
      <c r="D176" s="94">
        <v>2455</v>
      </c>
    </row>
    <row r="177" spans="1:4" x14ac:dyDescent="0.2">
      <c r="A177" s="1158" t="s">
        <v>29</v>
      </c>
      <c r="B177" s="94"/>
      <c r="D177" s="94">
        <v>5203</v>
      </c>
    </row>
    <row r="178" spans="1:4" x14ac:dyDescent="0.2">
      <c r="A178" s="107" t="s">
        <v>30</v>
      </c>
      <c r="B178" s="79"/>
      <c r="D178" s="79">
        <v>2451</v>
      </c>
    </row>
    <row r="179" spans="1:4" x14ac:dyDescent="0.2">
      <c r="A179" s="80" t="s">
        <v>276</v>
      </c>
      <c r="B179" s="80"/>
      <c r="D179" s="80" t="s">
        <v>277</v>
      </c>
    </row>
    <row r="180" spans="1:4" x14ac:dyDescent="0.2">
      <c r="A180" s="79" t="s">
        <v>278</v>
      </c>
      <c r="B180" s="79"/>
      <c r="D180" s="79">
        <v>206128</v>
      </c>
    </row>
    <row r="181" spans="1:4" x14ac:dyDescent="0.2">
      <c r="A181" s="1158" t="s">
        <v>452</v>
      </c>
      <c r="B181" s="94"/>
      <c r="D181" s="94">
        <v>4002</v>
      </c>
    </row>
    <row r="182" spans="1:4" x14ac:dyDescent="0.2">
      <c r="A182" s="456" t="s">
        <v>455</v>
      </c>
      <c r="B182" s="79"/>
      <c r="D182" s="79">
        <v>2430</v>
      </c>
    </row>
    <row r="183" spans="1:4" x14ac:dyDescent="0.2">
      <c r="A183" s="1167" t="s">
        <v>768</v>
      </c>
      <c r="B183" s="1169"/>
      <c r="D183" s="1169" t="s">
        <v>769</v>
      </c>
    </row>
    <row r="184" spans="1:4" x14ac:dyDescent="0.2">
      <c r="A184" s="1158" t="s">
        <v>68</v>
      </c>
      <c r="B184" s="94"/>
      <c r="D184" s="94">
        <v>4608</v>
      </c>
    </row>
    <row r="185" spans="1:4" x14ac:dyDescent="0.2">
      <c r="A185" s="1158" t="s">
        <v>31</v>
      </c>
      <c r="B185" s="94"/>
      <c r="D185" s="94">
        <v>2409</v>
      </c>
    </row>
    <row r="186" spans="1:4" x14ac:dyDescent="0.2">
      <c r="A186" s="1170" t="s">
        <v>281</v>
      </c>
      <c r="B186" s="1168"/>
      <c r="D186" s="1168" t="s">
        <v>282</v>
      </c>
    </row>
    <row r="187" spans="1:4" x14ac:dyDescent="0.2">
      <c r="A187" s="1171" t="s">
        <v>1401</v>
      </c>
      <c r="B187" s="1173"/>
      <c r="D187" s="1173" t="s">
        <v>771</v>
      </c>
    </row>
    <row r="188" spans="1:4" x14ac:dyDescent="0.2">
      <c r="A188" s="1174" t="s">
        <v>539</v>
      </c>
      <c r="B188" s="96"/>
      <c r="D188" s="96">
        <v>205921</v>
      </c>
    </row>
    <row r="189" spans="1:4" x14ac:dyDescent="0.2">
      <c r="A189" s="1171" t="s">
        <v>1372</v>
      </c>
      <c r="B189" s="1154"/>
      <c r="D189" s="1154" t="s">
        <v>776</v>
      </c>
    </row>
    <row r="190" spans="1:4" x14ac:dyDescent="0.2">
      <c r="A190" s="1174" t="s">
        <v>538</v>
      </c>
      <c r="B190" s="96"/>
      <c r="D190" s="96">
        <v>205999</v>
      </c>
    </row>
    <row r="191" spans="1:4" x14ac:dyDescent="0.2">
      <c r="A191" s="96" t="s">
        <v>537</v>
      </c>
      <c r="B191" s="95"/>
      <c r="D191" s="95" t="s">
        <v>283</v>
      </c>
    </row>
    <row r="192" spans="1:4" x14ac:dyDescent="0.2">
      <c r="A192" s="1171" t="s">
        <v>1373</v>
      </c>
      <c r="B192" s="1153"/>
      <c r="D192" s="1153">
        <v>206065</v>
      </c>
    </row>
    <row r="193" spans="1:4" x14ac:dyDescent="0.2">
      <c r="A193" s="1175" t="s">
        <v>1375</v>
      </c>
      <c r="B193" s="1154"/>
      <c r="D193" s="1154" t="s">
        <v>787</v>
      </c>
    </row>
    <row r="194" spans="1:4" x14ac:dyDescent="0.2">
      <c r="A194" s="456" t="s">
        <v>589</v>
      </c>
      <c r="B194" s="1176"/>
      <c r="D194" s="1176" t="s">
        <v>288</v>
      </c>
    </row>
    <row r="195" spans="1:4" x14ac:dyDescent="0.2">
      <c r="A195" s="1177" t="s">
        <v>540</v>
      </c>
      <c r="B195" s="96"/>
      <c r="D195" s="96">
        <v>205922</v>
      </c>
    </row>
    <row r="196" spans="1:4" x14ac:dyDescent="0.2">
      <c r="A196" s="456" t="s">
        <v>587</v>
      </c>
      <c r="B196" s="1154"/>
      <c r="D196" s="1154" t="s">
        <v>784</v>
      </c>
    </row>
    <row r="197" spans="1:4" x14ac:dyDescent="0.2">
      <c r="A197" s="1171" t="s">
        <v>1374</v>
      </c>
      <c r="B197" s="1154"/>
      <c r="D197" s="1154" t="s">
        <v>781</v>
      </c>
    </row>
    <row r="198" spans="1:4" x14ac:dyDescent="0.2">
      <c r="A198" s="1171" t="s">
        <v>1376</v>
      </c>
      <c r="B198" s="1178"/>
      <c r="D198" s="1178">
        <v>205919</v>
      </c>
    </row>
    <row r="199" spans="1:4" x14ac:dyDescent="0.2">
      <c r="A199" s="96" t="s">
        <v>541</v>
      </c>
      <c r="B199" s="95"/>
      <c r="D199" s="95" t="s">
        <v>287</v>
      </c>
    </row>
    <row r="200" spans="1:4" x14ac:dyDescent="0.2">
      <c r="A200" s="1171" t="s">
        <v>1377</v>
      </c>
      <c r="B200" s="1179"/>
      <c r="D200" s="1179" t="s">
        <v>791</v>
      </c>
    </row>
    <row r="201" spans="1:4" x14ac:dyDescent="0.2">
      <c r="A201" s="1171" t="s">
        <v>1378</v>
      </c>
      <c r="B201" s="1169"/>
      <c r="D201" s="1169" t="s">
        <v>793</v>
      </c>
    </row>
    <row r="202" spans="1:4" x14ac:dyDescent="0.2">
      <c r="A202" s="1180" t="s">
        <v>1380</v>
      </c>
      <c r="B202" s="1154"/>
      <c r="D202" s="1154" t="s">
        <v>796</v>
      </c>
    </row>
    <row r="203" spans="1:4" x14ac:dyDescent="0.2">
      <c r="A203" s="1181" t="s">
        <v>1379</v>
      </c>
      <c r="B203" s="697"/>
      <c r="D203" s="697">
        <v>205849</v>
      </c>
    </row>
    <row r="204" spans="1:4" x14ac:dyDescent="0.2">
      <c r="A204" s="456" t="s">
        <v>594</v>
      </c>
      <c r="B204" s="1176"/>
      <c r="D204" s="1176" t="s">
        <v>284</v>
      </c>
    </row>
    <row r="205" spans="1:4" x14ac:dyDescent="0.2">
      <c r="A205" s="1182" t="s">
        <v>1381</v>
      </c>
      <c r="B205" s="1154"/>
      <c r="D205" s="1154" t="s">
        <v>798</v>
      </c>
    </row>
    <row r="206" spans="1:4" x14ac:dyDescent="0.2">
      <c r="A206" s="1183" t="s">
        <v>1385</v>
      </c>
      <c r="B206" s="1184"/>
      <c r="D206" s="1184">
        <v>205922</v>
      </c>
    </row>
    <row r="207" spans="1:4" x14ac:dyDescent="0.2">
      <c r="A207" s="1185" t="s">
        <v>1384</v>
      </c>
      <c r="B207" s="1179"/>
      <c r="D207" s="1179">
        <v>205881</v>
      </c>
    </row>
    <row r="208" spans="1:4" x14ac:dyDescent="0.2">
      <c r="A208" s="1186" t="s">
        <v>1382</v>
      </c>
      <c r="B208" s="1187"/>
      <c r="D208" s="1187" t="s">
        <v>801</v>
      </c>
    </row>
    <row r="209" spans="1:4" x14ac:dyDescent="0.2">
      <c r="A209" s="1174" t="s">
        <v>542</v>
      </c>
      <c r="B209" s="96"/>
      <c r="D209" s="96" t="s">
        <v>289</v>
      </c>
    </row>
    <row r="210" spans="1:4" x14ac:dyDescent="0.2">
      <c r="A210" s="1171" t="s">
        <v>1383</v>
      </c>
      <c r="B210" s="1179"/>
      <c r="D210" s="1179" t="s">
        <v>806</v>
      </c>
    </row>
    <row r="211" spans="1:4" x14ac:dyDescent="0.2">
      <c r="A211" s="1185" t="s">
        <v>807</v>
      </c>
      <c r="B211" s="1179"/>
      <c r="D211" s="1179" t="s">
        <v>808</v>
      </c>
    </row>
    <row r="212" spans="1:4" x14ac:dyDescent="0.2">
      <c r="A212" s="1185" t="s">
        <v>1386</v>
      </c>
      <c r="B212" s="1189"/>
      <c r="D212" s="1189" t="s">
        <v>811</v>
      </c>
    </row>
    <row r="213" spans="1:4" x14ac:dyDescent="0.2">
      <c r="A213" s="1181" t="s">
        <v>543</v>
      </c>
      <c r="B213" s="96"/>
      <c r="D213" s="96">
        <v>2</v>
      </c>
    </row>
    <row r="214" spans="1:4" x14ac:dyDescent="0.2">
      <c r="A214" s="1192" t="s">
        <v>1387</v>
      </c>
      <c r="B214" s="1150"/>
      <c r="D214" s="1150" t="s">
        <v>668</v>
      </c>
    </row>
    <row r="215" spans="1:4" x14ac:dyDescent="0.2">
      <c r="A215" s="693" t="s">
        <v>1388</v>
      </c>
      <c r="B215" s="1179"/>
      <c r="D215" s="1179" t="s">
        <v>686</v>
      </c>
    </row>
    <row r="216" spans="1:4" x14ac:dyDescent="0.2">
      <c r="A216" s="96" t="s">
        <v>544</v>
      </c>
      <c r="B216" s="1184"/>
      <c r="D216" s="1184">
        <v>205956</v>
      </c>
    </row>
    <row r="217" spans="1:4" x14ac:dyDescent="0.2">
      <c r="A217" s="702" t="s">
        <v>1389</v>
      </c>
      <c r="B217" s="1169"/>
      <c r="D217" s="1169">
        <v>260849</v>
      </c>
    </row>
    <row r="218" spans="1:4" x14ac:dyDescent="0.2">
      <c r="A218" s="693" t="s">
        <v>1390</v>
      </c>
      <c r="B218" s="1169"/>
      <c r="D218" s="1169" t="s">
        <v>818</v>
      </c>
    </row>
    <row r="219" spans="1:4" x14ac:dyDescent="0.2">
      <c r="A219" s="1193" t="s">
        <v>1391</v>
      </c>
      <c r="B219" s="1165"/>
      <c r="D219" s="1165" t="s">
        <v>291</v>
      </c>
    </row>
    <row r="220" spans="1:4" x14ac:dyDescent="0.2">
      <c r="A220" s="1145" t="s">
        <v>1392</v>
      </c>
      <c r="B220" s="1154"/>
      <c r="D220" s="1154" t="s">
        <v>821</v>
      </c>
    </row>
    <row r="221" spans="1:4" x14ac:dyDescent="0.2">
      <c r="A221" s="1142" t="s">
        <v>1394</v>
      </c>
      <c r="B221" s="1154"/>
      <c r="D221" s="1154" t="s">
        <v>825</v>
      </c>
    </row>
    <row r="222" spans="1:4" x14ac:dyDescent="0.2">
      <c r="A222" s="1142" t="s">
        <v>1393</v>
      </c>
      <c r="B222" s="1189"/>
      <c r="D222" s="1189" t="s">
        <v>823</v>
      </c>
    </row>
    <row r="223" spans="1:4" x14ac:dyDescent="0.2">
      <c r="A223" s="583" t="s">
        <v>1396</v>
      </c>
      <c r="B223" s="1154"/>
      <c r="D223" s="1154" t="s">
        <v>830</v>
      </c>
    </row>
    <row r="224" spans="1:4" x14ac:dyDescent="0.2">
      <c r="A224" s="1143" t="s">
        <v>1395</v>
      </c>
      <c r="B224" s="1154"/>
      <c r="D224" s="1154" t="s">
        <v>827</v>
      </c>
    </row>
    <row r="225" spans="1:4" x14ac:dyDescent="0.2">
      <c r="A225" s="1181" t="s">
        <v>591</v>
      </c>
      <c r="B225" s="95"/>
      <c r="D225" s="95" t="s">
        <v>293</v>
      </c>
    </row>
    <row r="226" spans="1:4" x14ac:dyDescent="0.2">
      <c r="A226" s="1142" t="s">
        <v>1402</v>
      </c>
      <c r="B226" s="697"/>
      <c r="D226" s="697" t="s">
        <v>833</v>
      </c>
    </row>
    <row r="227" spans="1:4" x14ac:dyDescent="0.2">
      <c r="A227" s="1142" t="s">
        <v>1403</v>
      </c>
      <c r="B227" s="1154"/>
      <c r="D227" s="1154" t="s">
        <v>835</v>
      </c>
    </row>
    <row r="228" spans="1:4" x14ac:dyDescent="0.2">
      <c r="A228" s="1174" t="s">
        <v>547</v>
      </c>
      <c r="B228" s="95"/>
      <c r="D228" s="95" t="s">
        <v>295</v>
      </c>
    </row>
    <row r="229" spans="1:4" x14ac:dyDescent="0.2">
      <c r="A229" s="1148" t="s">
        <v>1397</v>
      </c>
      <c r="B229" s="1154"/>
      <c r="D229" s="1154">
        <v>206031</v>
      </c>
    </row>
    <row r="230" spans="1:4" x14ac:dyDescent="0.2">
      <c r="A230" s="1174" t="s">
        <v>546</v>
      </c>
      <c r="B230" s="95"/>
      <c r="D230" s="95" t="s">
        <v>296</v>
      </c>
    </row>
    <row r="231" spans="1:4" x14ac:dyDescent="0.2">
      <c r="A231" s="96" t="s">
        <v>545</v>
      </c>
      <c r="B231" s="95"/>
      <c r="D231" s="95" t="s">
        <v>294</v>
      </c>
    </row>
    <row r="232" spans="1:4" x14ac:dyDescent="0.2">
      <c r="A232" s="1143" t="s">
        <v>1398</v>
      </c>
      <c r="B232" s="1154"/>
      <c r="D232" s="1154" t="s">
        <v>840</v>
      </c>
    </row>
    <row r="233" spans="1:4" x14ac:dyDescent="0.2">
      <c r="A233" s="96" t="s">
        <v>1371</v>
      </c>
      <c r="B233" s="95"/>
      <c r="D233" s="95" t="s">
        <v>298</v>
      </c>
    </row>
    <row r="234" spans="1:4" x14ac:dyDescent="0.2">
      <c r="A234" s="1143" t="s">
        <v>1407</v>
      </c>
      <c r="B234" s="1179"/>
      <c r="D234" s="1179" t="s">
        <v>844</v>
      </c>
    </row>
    <row r="235" spans="1:4" x14ac:dyDescent="0.2">
      <c r="A235" s="1181" t="s">
        <v>592</v>
      </c>
      <c r="B235" s="1184"/>
      <c r="D235" s="1184">
        <v>206043</v>
      </c>
    </row>
    <row r="236" spans="1:4" x14ac:dyDescent="0.2">
      <c r="A236" s="1177" t="s">
        <v>548</v>
      </c>
      <c r="B236" s="95"/>
      <c r="D236" s="95" t="s">
        <v>299</v>
      </c>
    </row>
    <row r="237" spans="1:4" x14ac:dyDescent="0.2">
      <c r="A237" s="1194" t="s">
        <v>590</v>
      </c>
      <c r="B237" s="1195"/>
      <c r="D237" s="1195" t="s">
        <v>292</v>
      </c>
    </row>
    <row r="238" spans="1:4" x14ac:dyDescent="0.2">
      <c r="A238" s="1196" t="s">
        <v>593</v>
      </c>
      <c r="B238" s="1197"/>
      <c r="D238" s="1197" t="s">
        <v>297</v>
      </c>
    </row>
    <row r="239" spans="1:4" x14ac:dyDescent="0.2">
      <c r="A239" s="1143" t="s">
        <v>1406</v>
      </c>
      <c r="B239" s="1154"/>
      <c r="D239" s="1154">
        <v>206067</v>
      </c>
    </row>
    <row r="240" spans="1:4" ht="15" x14ac:dyDescent="0.2">
      <c r="A240" s="1177" t="s">
        <v>549</v>
      </c>
      <c r="B240" s="97"/>
      <c r="D240" s="97" t="s">
        <v>300</v>
      </c>
    </row>
    <row r="241" spans="1:4" x14ac:dyDescent="0.2">
      <c r="A241" s="1190" t="s">
        <v>1400</v>
      </c>
      <c r="B241" s="1191"/>
      <c r="D241" s="1191" t="s">
        <v>290</v>
      </c>
    </row>
    <row r="242" spans="1:4" x14ac:dyDescent="0.2">
      <c r="A242" s="1198" t="s">
        <v>550</v>
      </c>
      <c r="B242" s="98"/>
      <c r="D242" s="98" t="s">
        <v>301</v>
      </c>
    </row>
    <row r="243" spans="1:4" x14ac:dyDescent="0.2">
      <c r="A243" s="1147" t="s">
        <v>1404</v>
      </c>
      <c r="B243" s="1209"/>
      <c r="D243" s="1209" t="s">
        <v>854</v>
      </c>
    </row>
    <row r="244" spans="1:4" x14ac:dyDescent="0.2">
      <c r="A244" s="456" t="s">
        <v>595</v>
      </c>
      <c r="B244" s="1176"/>
      <c r="D244" s="1176" t="s">
        <v>285</v>
      </c>
    </row>
    <row r="245" spans="1:4" x14ac:dyDescent="0.2">
      <c r="A245" s="1147" t="s">
        <v>1405</v>
      </c>
      <c r="B245" s="1209"/>
      <c r="D245" s="1209" t="s">
        <v>856</v>
      </c>
    </row>
    <row r="246" spans="1:4" x14ac:dyDescent="0.2">
      <c r="A246" s="87" t="s">
        <v>302</v>
      </c>
      <c r="B246" s="88"/>
      <c r="D246" s="88" t="s">
        <v>303</v>
      </c>
    </row>
    <row r="247" spans="1:4" x14ac:dyDescent="0.2">
      <c r="A247" s="79" t="s">
        <v>304</v>
      </c>
      <c r="B247" s="79"/>
      <c r="D247" s="79" t="s">
        <v>306</v>
      </c>
    </row>
    <row r="248" spans="1:4" x14ac:dyDescent="0.2">
      <c r="A248" s="1144" t="s">
        <v>858</v>
      </c>
      <c r="B248" s="1169"/>
      <c r="D248" s="1169" t="s">
        <v>859</v>
      </c>
    </row>
    <row r="249" spans="1:4" x14ac:dyDescent="0.2">
      <c r="A249" s="1158" t="s">
        <v>111</v>
      </c>
      <c r="B249" s="94"/>
      <c r="D249" s="94">
        <v>4178</v>
      </c>
    </row>
    <row r="250" spans="1:4" x14ac:dyDescent="0.2">
      <c r="A250" s="1158" t="s">
        <v>98</v>
      </c>
      <c r="B250" s="94"/>
      <c r="D250" s="94">
        <v>3158</v>
      </c>
    </row>
    <row r="251" spans="1:4" x14ac:dyDescent="0.2">
      <c r="A251" s="79" t="s">
        <v>32</v>
      </c>
      <c r="B251" s="79"/>
      <c r="D251" s="79">
        <v>2619</v>
      </c>
    </row>
    <row r="252" spans="1:4" x14ac:dyDescent="0.2">
      <c r="A252" s="1141" t="s">
        <v>860</v>
      </c>
      <c r="B252" s="1154"/>
      <c r="D252" s="1154" t="s">
        <v>861</v>
      </c>
    </row>
    <row r="253" spans="1:4" x14ac:dyDescent="0.2">
      <c r="A253" s="79" t="s">
        <v>307</v>
      </c>
      <c r="B253" s="80"/>
      <c r="D253" s="80" t="s">
        <v>308</v>
      </c>
    </row>
    <row r="254" spans="1:4" x14ac:dyDescent="0.2">
      <c r="A254" s="79" t="s">
        <v>309</v>
      </c>
      <c r="B254" s="79"/>
      <c r="D254" s="79">
        <v>258417</v>
      </c>
    </row>
    <row r="255" spans="1:4" x14ac:dyDescent="0.2">
      <c r="A255" s="79" t="s">
        <v>311</v>
      </c>
      <c r="B255" s="79"/>
      <c r="D255" s="79" t="s">
        <v>313</v>
      </c>
    </row>
    <row r="256" spans="1:4" x14ac:dyDescent="0.2">
      <c r="A256" s="79" t="s">
        <v>314</v>
      </c>
      <c r="B256" s="79"/>
      <c r="D256" s="79" t="s">
        <v>316</v>
      </c>
    </row>
    <row r="257" spans="1:4" x14ac:dyDescent="0.2">
      <c r="A257" s="79" t="s">
        <v>33</v>
      </c>
      <c r="B257" s="79"/>
      <c r="D257" s="79">
        <v>2518</v>
      </c>
    </row>
    <row r="258" spans="1:4" x14ac:dyDescent="0.2">
      <c r="A258" s="1141" t="s">
        <v>862</v>
      </c>
      <c r="B258" s="1210"/>
      <c r="D258" s="1210" t="s">
        <v>863</v>
      </c>
    </row>
    <row r="259" spans="1:4" x14ac:dyDescent="0.2">
      <c r="A259" s="79" t="s">
        <v>317</v>
      </c>
      <c r="B259" s="79"/>
      <c r="D259" s="79">
        <v>206106</v>
      </c>
    </row>
    <row r="260" spans="1:4" x14ac:dyDescent="0.2">
      <c r="A260" s="80" t="s">
        <v>319</v>
      </c>
      <c r="B260" s="80"/>
      <c r="D260" s="80" t="s">
        <v>320</v>
      </c>
    </row>
    <row r="261" spans="1:4" x14ac:dyDescent="0.2">
      <c r="A261" s="1144" t="s">
        <v>864</v>
      </c>
      <c r="B261" s="1169"/>
      <c r="D261" s="1169" t="s">
        <v>865</v>
      </c>
    </row>
    <row r="262" spans="1:4" x14ac:dyDescent="0.2">
      <c r="A262" s="1158" t="s">
        <v>34</v>
      </c>
      <c r="B262" s="94"/>
      <c r="D262" s="94">
        <v>2457</v>
      </c>
    </row>
    <row r="263" spans="1:4" x14ac:dyDescent="0.2">
      <c r="A263" s="1158" t="s">
        <v>99</v>
      </c>
      <c r="B263" s="79"/>
      <c r="D263" s="79">
        <v>2010</v>
      </c>
    </row>
    <row r="264" spans="1:4" x14ac:dyDescent="0.2">
      <c r="A264" s="79" t="s">
        <v>35</v>
      </c>
      <c r="B264" s="79"/>
      <c r="D264" s="79">
        <v>2002</v>
      </c>
    </row>
    <row r="265" spans="1:4" x14ac:dyDescent="0.2">
      <c r="A265" s="79" t="s">
        <v>36</v>
      </c>
      <c r="B265" s="79"/>
      <c r="D265" s="79">
        <v>3544</v>
      </c>
    </row>
    <row r="266" spans="1:4" x14ac:dyDescent="0.2">
      <c r="A266" s="79" t="s">
        <v>5</v>
      </c>
      <c r="B266" s="79"/>
      <c r="D266" s="79">
        <v>1008</v>
      </c>
    </row>
    <row r="267" spans="1:4" x14ac:dyDescent="0.2">
      <c r="A267" s="79" t="s">
        <v>321</v>
      </c>
      <c r="B267" s="79"/>
      <c r="D267" s="79" t="s">
        <v>322</v>
      </c>
    </row>
    <row r="268" spans="1:4" x14ac:dyDescent="0.2">
      <c r="A268" s="79" t="s">
        <v>100</v>
      </c>
      <c r="B268" s="79"/>
      <c r="D268" s="79">
        <v>2006</v>
      </c>
    </row>
    <row r="269" spans="1:4" x14ac:dyDescent="0.2">
      <c r="A269" s="80" t="s">
        <v>323</v>
      </c>
      <c r="B269" s="80"/>
      <c r="D269" s="80" t="s">
        <v>324</v>
      </c>
    </row>
    <row r="270" spans="1:4" x14ac:dyDescent="0.2">
      <c r="A270" s="79" t="s">
        <v>325</v>
      </c>
      <c r="B270" s="79"/>
      <c r="D270" s="79">
        <v>206133</v>
      </c>
    </row>
    <row r="271" spans="1:4" x14ac:dyDescent="0.2">
      <c r="A271" s="1149" t="s">
        <v>867</v>
      </c>
      <c r="B271" s="1169"/>
      <c r="D271" s="1169" t="s">
        <v>868</v>
      </c>
    </row>
    <row r="272" spans="1:4" x14ac:dyDescent="0.2">
      <c r="A272" s="79" t="s">
        <v>327</v>
      </c>
      <c r="B272" s="79"/>
      <c r="D272" s="79" t="s">
        <v>329</v>
      </c>
    </row>
    <row r="273" spans="1:4" x14ac:dyDescent="0.2">
      <c r="A273" s="79" t="s">
        <v>330</v>
      </c>
      <c r="B273" s="79"/>
      <c r="D273" s="79">
        <v>206134</v>
      </c>
    </row>
    <row r="274" spans="1:4" x14ac:dyDescent="0.2">
      <c r="A274" s="79" t="s">
        <v>334</v>
      </c>
      <c r="B274" s="79"/>
      <c r="D274" s="79" t="s">
        <v>335</v>
      </c>
    </row>
    <row r="275" spans="1:4" x14ac:dyDescent="0.2">
      <c r="A275" s="1199" t="s">
        <v>332</v>
      </c>
      <c r="B275" s="1200"/>
      <c r="D275" s="1200" t="s">
        <v>333</v>
      </c>
    </row>
    <row r="276" spans="1:4" x14ac:dyDescent="0.2">
      <c r="A276" s="79" t="s">
        <v>336</v>
      </c>
      <c r="B276" s="79"/>
      <c r="D276" s="79" t="s">
        <v>337</v>
      </c>
    </row>
    <row r="277" spans="1:4" x14ac:dyDescent="0.2">
      <c r="A277" s="79" t="s">
        <v>338</v>
      </c>
      <c r="B277" s="79"/>
      <c r="D277" s="79">
        <v>206109</v>
      </c>
    </row>
    <row r="278" spans="1:4" x14ac:dyDescent="0.2">
      <c r="A278" s="79" t="s">
        <v>37</v>
      </c>
      <c r="B278" s="79"/>
      <c r="D278" s="79">
        <v>2434</v>
      </c>
    </row>
    <row r="279" spans="1:4" x14ac:dyDescent="0.2">
      <c r="A279" s="1161" t="s">
        <v>597</v>
      </c>
      <c r="B279" s="147"/>
      <c r="D279" s="147">
        <v>6905</v>
      </c>
    </row>
    <row r="280" spans="1:4" x14ac:dyDescent="0.2">
      <c r="A280" s="1158" t="s">
        <v>42</v>
      </c>
      <c r="B280" s="94"/>
      <c r="D280" s="94">
        <v>2009</v>
      </c>
    </row>
    <row r="281" spans="1:4" x14ac:dyDescent="0.2">
      <c r="A281" s="1158" t="s">
        <v>38</v>
      </c>
      <c r="B281" s="94"/>
      <c r="D281" s="94">
        <v>2522</v>
      </c>
    </row>
    <row r="282" spans="1:4" x14ac:dyDescent="0.2">
      <c r="A282" s="79" t="s">
        <v>340</v>
      </c>
      <c r="B282" s="79"/>
      <c r="D282" s="79">
        <v>206110</v>
      </c>
    </row>
    <row r="283" spans="1:4" x14ac:dyDescent="0.2">
      <c r="A283" s="79" t="s">
        <v>342</v>
      </c>
      <c r="B283" s="79"/>
      <c r="D283" s="79">
        <v>206135</v>
      </c>
    </row>
    <row r="284" spans="1:4" x14ac:dyDescent="0.2">
      <c r="A284" s="1158" t="s">
        <v>69</v>
      </c>
      <c r="B284" s="94"/>
      <c r="D284" s="94">
        <v>4181</v>
      </c>
    </row>
    <row r="285" spans="1:4" x14ac:dyDescent="0.2">
      <c r="A285" s="79" t="s">
        <v>344</v>
      </c>
      <c r="B285" s="79"/>
      <c r="D285" s="79">
        <v>509195</v>
      </c>
    </row>
    <row r="286" spans="1:4" x14ac:dyDescent="0.2">
      <c r="A286" s="87" t="s">
        <v>346</v>
      </c>
      <c r="B286" s="88"/>
      <c r="D286" s="88" t="s">
        <v>347</v>
      </c>
    </row>
    <row r="287" spans="1:4" x14ac:dyDescent="0.2">
      <c r="A287" s="1201" t="s">
        <v>348</v>
      </c>
      <c r="B287" s="1202"/>
      <c r="D287" s="1202" t="s">
        <v>349</v>
      </c>
    </row>
    <row r="288" spans="1:4" x14ac:dyDescent="0.2">
      <c r="A288" s="79" t="s">
        <v>350</v>
      </c>
      <c r="B288" s="79"/>
      <c r="D288" s="79" t="s">
        <v>352</v>
      </c>
    </row>
    <row r="289" spans="1:4" x14ac:dyDescent="0.2">
      <c r="A289" s="79" t="s">
        <v>353</v>
      </c>
      <c r="B289" s="79"/>
      <c r="D289" s="79">
        <v>509199</v>
      </c>
    </row>
    <row r="290" spans="1:4" x14ac:dyDescent="0.2">
      <c r="A290" s="79" t="s">
        <v>355</v>
      </c>
      <c r="B290" s="79"/>
      <c r="D290" s="79">
        <v>509197</v>
      </c>
    </row>
    <row r="291" spans="1:4" x14ac:dyDescent="0.2">
      <c r="A291" s="1151" t="s">
        <v>870</v>
      </c>
      <c r="B291" s="1211"/>
      <c r="D291" s="1211">
        <v>479383</v>
      </c>
    </row>
    <row r="292" spans="1:4" x14ac:dyDescent="0.2">
      <c r="A292" s="1170" t="s">
        <v>360</v>
      </c>
      <c r="B292" s="1168"/>
      <c r="D292" s="1168" t="s">
        <v>361</v>
      </c>
    </row>
    <row r="293" spans="1:4" x14ac:dyDescent="0.2">
      <c r="A293" s="1158" t="s">
        <v>70</v>
      </c>
      <c r="B293" s="94"/>
      <c r="D293" s="94">
        <v>4182</v>
      </c>
    </row>
    <row r="294" spans="1:4" x14ac:dyDescent="0.2">
      <c r="A294" s="79" t="s">
        <v>357</v>
      </c>
      <c r="B294" s="79"/>
      <c r="D294" s="79" t="s">
        <v>359</v>
      </c>
    </row>
    <row r="295" spans="1:4" x14ac:dyDescent="0.2">
      <c r="A295" s="79" t="s">
        <v>6</v>
      </c>
      <c r="B295" s="79"/>
      <c r="D295" s="79">
        <v>1005</v>
      </c>
    </row>
    <row r="296" spans="1:4" x14ac:dyDescent="0.2">
      <c r="A296" s="489" t="s">
        <v>871</v>
      </c>
      <c r="B296" s="1179"/>
      <c r="D296" s="1179" t="s">
        <v>872</v>
      </c>
    </row>
    <row r="297" spans="1:4" x14ac:dyDescent="0.2">
      <c r="A297" s="1158" t="s">
        <v>39</v>
      </c>
      <c r="B297" s="94"/>
      <c r="D297" s="94">
        <v>2436</v>
      </c>
    </row>
    <row r="298" spans="1:4" x14ac:dyDescent="0.2">
      <c r="A298" s="79" t="s">
        <v>362</v>
      </c>
      <c r="B298" s="79"/>
      <c r="D298" s="79">
        <v>206117</v>
      </c>
    </row>
    <row r="299" spans="1:4" x14ac:dyDescent="0.2">
      <c r="A299" s="79" t="s">
        <v>40</v>
      </c>
      <c r="B299" s="79"/>
      <c r="D299" s="79">
        <v>2452</v>
      </c>
    </row>
    <row r="300" spans="1:4" x14ac:dyDescent="0.2">
      <c r="A300" s="1158" t="s">
        <v>71</v>
      </c>
      <c r="B300" s="94"/>
      <c r="D300" s="94">
        <v>4001</v>
      </c>
    </row>
    <row r="301" spans="1:4" x14ac:dyDescent="0.2">
      <c r="A301" s="79" t="s">
        <v>364</v>
      </c>
      <c r="B301" s="79"/>
      <c r="D301" s="79">
        <v>206141</v>
      </c>
    </row>
    <row r="302" spans="1:4" x14ac:dyDescent="0.2">
      <c r="A302" s="1158" t="s">
        <v>41</v>
      </c>
      <c r="B302" s="94"/>
      <c r="D302" s="94">
        <v>2627</v>
      </c>
    </row>
    <row r="303" spans="1:4" x14ac:dyDescent="0.2">
      <c r="A303" s="1158" t="s">
        <v>112</v>
      </c>
      <c r="B303" s="94"/>
      <c r="D303" s="94">
        <v>5406</v>
      </c>
    </row>
    <row r="304" spans="1:4" x14ac:dyDescent="0.2">
      <c r="A304" s="1158" t="s">
        <v>113</v>
      </c>
      <c r="B304" s="94"/>
      <c r="D304" s="94">
        <v>5407</v>
      </c>
    </row>
    <row r="305" spans="1:4" x14ac:dyDescent="0.2">
      <c r="A305" s="79" t="s">
        <v>366</v>
      </c>
      <c r="B305" s="79"/>
      <c r="D305" s="79" t="s">
        <v>368</v>
      </c>
    </row>
    <row r="306" spans="1:4" x14ac:dyDescent="0.2">
      <c r="A306" s="79" t="s">
        <v>369</v>
      </c>
      <c r="B306" s="79"/>
      <c r="D306" s="79">
        <v>258404</v>
      </c>
    </row>
    <row r="307" spans="1:4" x14ac:dyDescent="0.2">
      <c r="A307" s="1158" t="s">
        <v>101</v>
      </c>
      <c r="B307" s="79"/>
      <c r="D307" s="79">
        <v>2473</v>
      </c>
    </row>
    <row r="308" spans="1:4" x14ac:dyDescent="0.2">
      <c r="A308" s="1158" t="s">
        <v>44</v>
      </c>
      <c r="B308" s="94"/>
      <c r="D308" s="94">
        <v>2471</v>
      </c>
    </row>
    <row r="309" spans="1:4" x14ac:dyDescent="0.2">
      <c r="A309" s="79" t="s">
        <v>371</v>
      </c>
      <c r="B309" s="79"/>
      <c r="D309" s="79">
        <v>258405</v>
      </c>
    </row>
    <row r="310" spans="1:4" x14ac:dyDescent="0.2">
      <c r="A310" s="79" t="s">
        <v>373</v>
      </c>
      <c r="B310" s="79"/>
      <c r="D310" s="79">
        <v>258406</v>
      </c>
    </row>
    <row r="311" spans="1:4" x14ac:dyDescent="0.2">
      <c r="A311" s="79" t="s">
        <v>43</v>
      </c>
      <c r="B311" s="79"/>
      <c r="D311" s="79">
        <v>2420</v>
      </c>
    </row>
    <row r="312" spans="1:4" x14ac:dyDescent="0.2">
      <c r="A312" s="79" t="s">
        <v>375</v>
      </c>
      <c r="B312" s="79"/>
      <c r="D312" s="79">
        <v>206160</v>
      </c>
    </row>
    <row r="313" spans="1:4" x14ac:dyDescent="0.2">
      <c r="A313" s="79" t="s">
        <v>45</v>
      </c>
      <c r="B313" s="79"/>
      <c r="D313" s="79">
        <v>2003</v>
      </c>
    </row>
    <row r="314" spans="1:4" x14ac:dyDescent="0.2">
      <c r="A314" s="1158" t="s">
        <v>46</v>
      </c>
      <c r="B314" s="94"/>
      <c r="D314" s="94">
        <v>2423</v>
      </c>
    </row>
    <row r="315" spans="1:4" x14ac:dyDescent="0.2">
      <c r="A315" s="1158" t="s">
        <v>47</v>
      </c>
      <c r="B315" s="94"/>
      <c r="D315" s="94">
        <v>2424</v>
      </c>
    </row>
    <row r="316" spans="1:4" x14ac:dyDescent="0.2">
      <c r="A316" s="79" t="s">
        <v>377</v>
      </c>
      <c r="B316" s="79"/>
      <c r="D316" s="79" t="s">
        <v>379</v>
      </c>
    </row>
    <row r="317" spans="1:4" x14ac:dyDescent="0.2">
      <c r="A317" s="726" t="s">
        <v>873</v>
      </c>
      <c r="B317" s="1179"/>
      <c r="D317" s="1179" t="s">
        <v>874</v>
      </c>
    </row>
    <row r="318" spans="1:4" x14ac:dyDescent="0.2">
      <c r="A318" s="79" t="s">
        <v>382</v>
      </c>
      <c r="B318" s="79"/>
      <c r="D318" s="79" t="s">
        <v>384</v>
      </c>
    </row>
    <row r="319" spans="1:4" x14ac:dyDescent="0.2">
      <c r="A319" s="79" t="s">
        <v>385</v>
      </c>
      <c r="B319" s="79"/>
      <c r="D319" s="79">
        <v>206146</v>
      </c>
    </row>
    <row r="320" spans="1:4" x14ac:dyDescent="0.2">
      <c r="A320" s="1158" t="s">
        <v>48</v>
      </c>
      <c r="B320" s="94"/>
      <c r="D320" s="94">
        <v>2439</v>
      </c>
    </row>
    <row r="321" spans="1:4" x14ac:dyDescent="0.2">
      <c r="A321" s="1158" t="s">
        <v>49</v>
      </c>
      <c r="B321" s="94"/>
      <c r="D321" s="94">
        <v>2440</v>
      </c>
    </row>
    <row r="322" spans="1:4" x14ac:dyDescent="0.2">
      <c r="A322" s="80" t="s">
        <v>387</v>
      </c>
      <c r="B322" s="80"/>
      <c r="D322" s="80" t="s">
        <v>388</v>
      </c>
    </row>
    <row r="323" spans="1:4" x14ac:dyDescent="0.2">
      <c r="A323" s="1158" t="s">
        <v>102</v>
      </c>
      <c r="B323" s="79"/>
      <c r="D323" s="79">
        <v>2462</v>
      </c>
    </row>
    <row r="324" spans="1:4" x14ac:dyDescent="0.2">
      <c r="A324" s="1158" t="s">
        <v>50</v>
      </c>
      <c r="B324" s="94"/>
      <c r="D324" s="94">
        <v>2463</v>
      </c>
    </row>
    <row r="325" spans="1:4" x14ac:dyDescent="0.2">
      <c r="A325" s="79" t="s">
        <v>51</v>
      </c>
      <c r="B325" s="79"/>
      <c r="D325" s="79">
        <v>2505</v>
      </c>
    </row>
    <row r="326" spans="1:4" x14ac:dyDescent="0.2">
      <c r="A326" s="79" t="s">
        <v>52</v>
      </c>
      <c r="B326" s="79"/>
      <c r="D326" s="79">
        <v>2000</v>
      </c>
    </row>
    <row r="327" spans="1:4" x14ac:dyDescent="0.2">
      <c r="A327" s="1158" t="s">
        <v>53</v>
      </c>
      <c r="B327" s="94"/>
      <c r="D327" s="94">
        <v>2458</v>
      </c>
    </row>
    <row r="328" spans="1:4" x14ac:dyDescent="0.2">
      <c r="A328" s="79" t="s">
        <v>392</v>
      </c>
      <c r="B328" s="79"/>
      <c r="D328" s="79" t="s">
        <v>394</v>
      </c>
    </row>
    <row r="329" spans="1:4" x14ac:dyDescent="0.2">
      <c r="A329" s="79" t="s">
        <v>54</v>
      </c>
      <c r="B329" s="79"/>
      <c r="D329" s="79">
        <v>2001</v>
      </c>
    </row>
    <row r="330" spans="1:4" x14ac:dyDescent="0.2">
      <c r="A330" s="80" t="s">
        <v>395</v>
      </c>
      <c r="B330" s="80"/>
      <c r="D330" s="80" t="s">
        <v>396</v>
      </c>
    </row>
    <row r="331" spans="1:4" x14ac:dyDescent="0.2">
      <c r="A331" s="79" t="s">
        <v>55</v>
      </c>
      <c r="B331" s="79"/>
      <c r="D331" s="79">
        <v>2429</v>
      </c>
    </row>
    <row r="332" spans="1:4" x14ac:dyDescent="0.2">
      <c r="A332" s="79" t="s">
        <v>397</v>
      </c>
      <c r="B332" s="79"/>
      <c r="D332" s="79">
        <v>113044</v>
      </c>
    </row>
    <row r="333" spans="1:4" x14ac:dyDescent="0.2">
      <c r="A333" s="79" t="s">
        <v>399</v>
      </c>
      <c r="B333" s="79"/>
      <c r="D333" s="79" t="s">
        <v>401</v>
      </c>
    </row>
    <row r="334" spans="1:4" x14ac:dyDescent="0.2">
      <c r="A334" s="1158" t="s">
        <v>72</v>
      </c>
      <c r="B334" s="94"/>
      <c r="D334" s="94">
        <v>4607</v>
      </c>
    </row>
    <row r="335" spans="1:4" x14ac:dyDescent="0.2">
      <c r="A335" s="665" t="s">
        <v>881</v>
      </c>
      <c r="B335" s="1169"/>
      <c r="D335" s="1169" t="s">
        <v>882</v>
      </c>
    </row>
    <row r="336" spans="1:4" x14ac:dyDescent="0.2">
      <c r="A336" s="726" t="s">
        <v>883</v>
      </c>
      <c r="B336" s="1154"/>
      <c r="D336" s="1154" t="s">
        <v>884</v>
      </c>
    </row>
    <row r="337" spans="1:4" x14ac:dyDescent="0.2">
      <c r="A337" s="79" t="s">
        <v>56</v>
      </c>
      <c r="B337" s="79"/>
      <c r="D337" s="79">
        <v>2444</v>
      </c>
    </row>
    <row r="338" spans="1:4" x14ac:dyDescent="0.2">
      <c r="A338" s="1158" t="s">
        <v>57</v>
      </c>
      <c r="B338" s="94"/>
      <c r="D338" s="94">
        <v>5209</v>
      </c>
    </row>
    <row r="339" spans="1:4" x14ac:dyDescent="0.2">
      <c r="A339" s="79" t="s">
        <v>402</v>
      </c>
      <c r="B339" s="79"/>
      <c r="D339" s="79" t="s">
        <v>404</v>
      </c>
    </row>
    <row r="340" spans="1:4" x14ac:dyDescent="0.2">
      <c r="A340" s="79" t="s">
        <v>405</v>
      </c>
      <c r="B340" s="79"/>
      <c r="D340" s="79" t="s">
        <v>407</v>
      </c>
    </row>
    <row r="341" spans="1:4" x14ac:dyDescent="0.2">
      <c r="A341" s="1158" t="s">
        <v>58</v>
      </c>
      <c r="B341" s="94"/>
      <c r="D341" s="94">
        <v>2469</v>
      </c>
    </row>
    <row r="342" spans="1:4" x14ac:dyDescent="0.2">
      <c r="A342" s="79" t="s">
        <v>408</v>
      </c>
      <c r="B342" s="79"/>
      <c r="D342" s="79" t="s">
        <v>410</v>
      </c>
    </row>
    <row r="343" spans="1:4" x14ac:dyDescent="0.2">
      <c r="A343" s="99" t="s">
        <v>411</v>
      </c>
      <c r="B343" s="99"/>
      <c r="D343" s="99" t="s">
        <v>412</v>
      </c>
    </row>
    <row r="344" spans="1:4" x14ac:dyDescent="0.2">
      <c r="A344" s="1158" t="s">
        <v>59</v>
      </c>
      <c r="B344" s="94"/>
      <c r="D344" s="94">
        <v>2466</v>
      </c>
    </row>
    <row r="345" spans="1:4" x14ac:dyDescent="0.2">
      <c r="A345" s="79" t="s">
        <v>60</v>
      </c>
      <c r="B345" s="79"/>
      <c r="D345" s="79">
        <v>3543</v>
      </c>
    </row>
    <row r="346" spans="1:4" x14ac:dyDescent="0.2">
      <c r="A346" s="79" t="s">
        <v>413</v>
      </c>
      <c r="B346" s="79"/>
      <c r="D346" s="79">
        <v>206152</v>
      </c>
    </row>
    <row r="347" spans="1:4" x14ac:dyDescent="0.2">
      <c r="A347" s="79" t="s">
        <v>415</v>
      </c>
      <c r="B347" s="79"/>
      <c r="D347" s="79">
        <v>206153</v>
      </c>
    </row>
    <row r="348" spans="1:4" x14ac:dyDescent="0.2">
      <c r="A348" s="1158" t="s">
        <v>62</v>
      </c>
      <c r="B348" s="94"/>
      <c r="D348" s="94">
        <v>3531</v>
      </c>
    </row>
    <row r="349" spans="1:4" x14ac:dyDescent="0.2">
      <c r="A349" s="79" t="s">
        <v>63</v>
      </c>
      <c r="B349" s="79"/>
      <c r="D349" s="79">
        <v>3526</v>
      </c>
    </row>
    <row r="350" spans="1:4" x14ac:dyDescent="0.2">
      <c r="A350" s="1158" t="s">
        <v>104</v>
      </c>
      <c r="B350" s="94"/>
      <c r="D350" s="94">
        <v>3535</v>
      </c>
    </row>
    <row r="351" spans="1:4" x14ac:dyDescent="0.2">
      <c r="A351" s="1203" t="s">
        <v>64</v>
      </c>
      <c r="B351" s="94"/>
      <c r="D351" s="94">
        <v>2008</v>
      </c>
    </row>
    <row r="352" spans="1:4" x14ac:dyDescent="0.2">
      <c r="A352" s="1158" t="s">
        <v>105</v>
      </c>
      <c r="B352" s="94"/>
      <c r="D352" s="94">
        <v>3542</v>
      </c>
    </row>
    <row r="353" spans="1:4" x14ac:dyDescent="0.2">
      <c r="A353" s="90" t="s">
        <v>417</v>
      </c>
      <c r="B353" s="79"/>
      <c r="D353" s="79">
        <v>206154</v>
      </c>
    </row>
    <row r="354" spans="1:4" x14ac:dyDescent="0.2">
      <c r="A354" s="1158" t="s">
        <v>106</v>
      </c>
      <c r="B354" s="79"/>
      <c r="D354" s="79">
        <v>3528</v>
      </c>
    </row>
    <row r="355" spans="1:4" x14ac:dyDescent="0.2">
      <c r="A355" s="80" t="s">
        <v>419</v>
      </c>
      <c r="B355" s="80"/>
      <c r="D355" s="80" t="s">
        <v>420</v>
      </c>
    </row>
    <row r="356" spans="1:4" x14ac:dyDescent="0.2">
      <c r="A356" s="1158" t="s">
        <v>107</v>
      </c>
      <c r="B356" s="94"/>
      <c r="D356" s="94">
        <v>3534</v>
      </c>
    </row>
    <row r="357" spans="1:4" x14ac:dyDescent="0.2">
      <c r="A357" s="1158" t="s">
        <v>108</v>
      </c>
      <c r="B357" s="143"/>
      <c r="D357" s="143">
        <v>3532</v>
      </c>
    </row>
    <row r="358" spans="1:4" x14ac:dyDescent="0.2">
      <c r="A358" s="107" t="s">
        <v>7</v>
      </c>
      <c r="B358" s="79"/>
      <c r="D358" s="79">
        <v>1010</v>
      </c>
    </row>
    <row r="359" spans="1:4" x14ac:dyDescent="0.2">
      <c r="A359" s="107" t="s">
        <v>421</v>
      </c>
      <c r="B359" s="79"/>
      <c r="D359" s="79" t="s">
        <v>423</v>
      </c>
    </row>
    <row r="360" spans="1:4" x14ac:dyDescent="0.2">
      <c r="A360" s="1158" t="s">
        <v>114</v>
      </c>
      <c r="B360" s="94"/>
      <c r="D360" s="94">
        <v>4177</v>
      </c>
    </row>
    <row r="361" spans="1:4" x14ac:dyDescent="0.2">
      <c r="A361" s="79" t="s">
        <v>424</v>
      </c>
      <c r="B361" s="79"/>
      <c r="D361" s="79" t="s">
        <v>426</v>
      </c>
    </row>
    <row r="362" spans="1:4" x14ac:dyDescent="0.2">
      <c r="A362" s="79" t="s">
        <v>427</v>
      </c>
      <c r="B362" s="79"/>
      <c r="D362" s="79">
        <v>206103</v>
      </c>
    </row>
    <row r="363" spans="1:4" x14ac:dyDescent="0.2">
      <c r="A363" s="79" t="s">
        <v>428</v>
      </c>
      <c r="B363" s="79"/>
      <c r="D363" s="79" t="s">
        <v>430</v>
      </c>
    </row>
    <row r="364" spans="1:4" x14ac:dyDescent="0.2">
      <c r="A364" s="79" t="s">
        <v>431</v>
      </c>
      <c r="B364" s="79"/>
      <c r="D364" s="79" t="s">
        <v>433</v>
      </c>
    </row>
    <row r="365" spans="1:4" x14ac:dyDescent="0.2">
      <c r="A365" s="79" t="s">
        <v>434</v>
      </c>
      <c r="B365" s="79"/>
      <c r="D365" s="79">
        <v>258420</v>
      </c>
    </row>
    <row r="366" spans="1:4" x14ac:dyDescent="0.2">
      <c r="A366" s="79" t="s">
        <v>436</v>
      </c>
      <c r="B366" s="79"/>
      <c r="D366" s="79">
        <v>258424</v>
      </c>
    </row>
    <row r="367" spans="1:4" x14ac:dyDescent="0.2">
      <c r="A367" s="79" t="s">
        <v>438</v>
      </c>
      <c r="B367" s="79"/>
      <c r="D367" s="79" t="s">
        <v>439</v>
      </c>
    </row>
    <row r="368" spans="1:4" x14ac:dyDescent="0.2">
      <c r="A368" s="142" t="s">
        <v>65</v>
      </c>
      <c r="B368" s="79"/>
      <c r="D368" s="79">
        <v>3546</v>
      </c>
    </row>
    <row r="369" spans="1:4" x14ac:dyDescent="0.2">
      <c r="A369" s="140" t="s">
        <v>8</v>
      </c>
      <c r="B369" s="79"/>
      <c r="D369" s="79">
        <v>1009</v>
      </c>
    </row>
    <row r="370" spans="1:4" x14ac:dyDescent="0.2">
      <c r="A370" s="142" t="s">
        <v>66</v>
      </c>
      <c r="B370" s="79"/>
      <c r="D370" s="79">
        <v>3530</v>
      </c>
    </row>
    <row r="371" spans="1:4" x14ac:dyDescent="0.2">
      <c r="A371" s="1158" t="s">
        <v>74</v>
      </c>
      <c r="B371" s="94"/>
      <c r="D371" s="94">
        <v>5412</v>
      </c>
    </row>
    <row r="372" spans="1:4" ht="15" x14ac:dyDescent="0.2">
      <c r="A372" s="146" t="s">
        <v>445</v>
      </c>
      <c r="B372" s="146"/>
      <c r="D372" s="146" t="s">
        <v>446</v>
      </c>
    </row>
    <row r="373" spans="1:4" x14ac:dyDescent="0.2">
      <c r="A373" s="140" t="s">
        <v>440</v>
      </c>
      <c r="B373" s="144"/>
      <c r="D373" s="144" t="s">
        <v>442</v>
      </c>
    </row>
    <row r="374" spans="1:4" x14ac:dyDescent="0.2">
      <c r="A374" s="79" t="s">
        <v>9</v>
      </c>
      <c r="B374" s="140"/>
      <c r="D374" s="140">
        <v>1015</v>
      </c>
    </row>
    <row r="375" spans="1:4" x14ac:dyDescent="0.2">
      <c r="A375" s="141" t="s">
        <v>443</v>
      </c>
      <c r="B375" s="145"/>
      <c r="D375" s="145" t="s">
        <v>444</v>
      </c>
    </row>
    <row r="376" spans="1:4" x14ac:dyDescent="0.2">
      <c r="A376" s="142" t="s">
        <v>447</v>
      </c>
      <c r="B376" s="79"/>
      <c r="D376" s="79">
        <v>509204</v>
      </c>
    </row>
    <row r="377" spans="1:4" x14ac:dyDescent="0.2">
      <c r="A377" s="1206" t="s">
        <v>67</v>
      </c>
      <c r="B377" s="143"/>
      <c r="D377" s="143">
        <v>2459</v>
      </c>
    </row>
    <row r="378" spans="1:4" x14ac:dyDescent="0.2">
      <c r="A378" s="79" t="s">
        <v>96</v>
      </c>
      <c r="B378" s="79"/>
      <c r="D378" s="79">
        <v>2007</v>
      </c>
    </row>
  </sheetData>
  <sheetProtection password="EF5C" sheet="1" objects="1" scenarios="1"/>
  <mergeCells count="1">
    <mergeCell ref="K5:O5"/>
  </mergeCells>
  <pageMargins left="0.70866141732283472" right="0.70866141732283472" top="0.74803149606299213" bottom="0.74803149606299213" header="0.31496062992125984" footer="0.31496062992125984"/>
  <pageSetup paperSize="9" scale="4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P347"/>
  <sheetViews>
    <sheetView workbookViewId="0">
      <pane xSplit="2" ySplit="1" topLeftCell="AE2" activePane="bottomRight" state="frozen"/>
      <selection activeCell="C118" sqref="C118"/>
      <selection pane="topRight" activeCell="C118" sqref="C118"/>
      <selection pane="bottomLeft" activeCell="C118" sqref="C118"/>
      <selection pane="bottomRight" sqref="A1:AP1048576"/>
    </sheetView>
  </sheetViews>
  <sheetFormatPr defaultRowHeight="12.75" x14ac:dyDescent="0.2"/>
  <cols>
    <col min="1" max="1" width="50.42578125" style="30" hidden="1" customWidth="1"/>
    <col min="2" max="2" width="17.140625" style="22" hidden="1" customWidth="1"/>
    <col min="3" max="3" width="15.140625" style="1011" hidden="1" customWidth="1"/>
    <col min="4" max="11" width="15.140625" style="11" hidden="1" customWidth="1"/>
    <col min="12" max="12" width="15.140625" style="21" hidden="1" customWidth="1"/>
    <col min="13" max="18" width="15.140625" style="11" hidden="1" customWidth="1"/>
    <col min="19" max="20" width="15.140625" style="30" hidden="1" customWidth="1"/>
    <col min="21" max="29" width="15.140625" style="11" hidden="1" customWidth="1"/>
    <col min="30" max="30" width="10" style="30" hidden="1" customWidth="1"/>
    <col min="31" max="34" width="9.140625" style="30" hidden="1" customWidth="1"/>
    <col min="35" max="35" width="14.5703125" style="30" hidden="1" customWidth="1"/>
    <col min="36" max="37" width="9.140625" style="30" hidden="1" customWidth="1"/>
    <col min="38" max="42" width="0" style="30" hidden="1" customWidth="1"/>
    <col min="43" max="16384" width="9.140625" style="30"/>
  </cols>
  <sheetData>
    <row r="1" spans="1:42" s="36" customFormat="1" ht="57" customHeight="1" x14ac:dyDescent="0.2">
      <c r="A1" s="35" t="s">
        <v>118</v>
      </c>
      <c r="B1" s="38" t="s">
        <v>81</v>
      </c>
      <c r="C1" s="1023" t="s">
        <v>1236</v>
      </c>
      <c r="D1" s="8" t="s">
        <v>1237</v>
      </c>
      <c r="E1" s="8" t="s">
        <v>1238</v>
      </c>
      <c r="F1" s="8" t="s">
        <v>1239</v>
      </c>
      <c r="G1" s="8" t="s">
        <v>1240</v>
      </c>
      <c r="H1" s="8" t="s">
        <v>1241</v>
      </c>
      <c r="I1" s="1070" t="s">
        <v>1242</v>
      </c>
      <c r="J1" s="8" t="s">
        <v>1243</v>
      </c>
      <c r="K1" s="8"/>
      <c r="L1" s="1071" t="s">
        <v>1244</v>
      </c>
      <c r="M1" s="37" t="s">
        <v>1245</v>
      </c>
      <c r="N1" s="8" t="s">
        <v>1246</v>
      </c>
      <c r="O1" s="8" t="s">
        <v>1247</v>
      </c>
      <c r="P1" s="8" t="s">
        <v>1240</v>
      </c>
      <c r="Q1" s="37" t="s">
        <v>1248</v>
      </c>
      <c r="R1" s="471" t="s">
        <v>1249</v>
      </c>
      <c r="T1" s="1072" t="s">
        <v>1250</v>
      </c>
      <c r="U1" s="37"/>
      <c r="V1" s="37" t="s">
        <v>1251</v>
      </c>
      <c r="W1" s="37" t="s">
        <v>128</v>
      </c>
      <c r="X1" s="37" t="s">
        <v>1252</v>
      </c>
      <c r="Y1" s="37" t="s">
        <v>1253</v>
      </c>
      <c r="Z1" s="37" t="s">
        <v>1254</v>
      </c>
      <c r="AA1" s="37" t="s">
        <v>1255</v>
      </c>
      <c r="AB1" s="37" t="s">
        <v>1256</v>
      </c>
      <c r="AC1" s="37" t="s">
        <v>1257</v>
      </c>
      <c r="AD1" s="36" t="s">
        <v>1258</v>
      </c>
    </row>
    <row r="2" spans="1:42" x14ac:dyDescent="0.2">
      <c r="A2" s="9" t="s">
        <v>10</v>
      </c>
      <c r="B2" s="26">
        <v>2012</v>
      </c>
      <c r="C2" s="1028">
        <v>323</v>
      </c>
      <c r="D2" s="11">
        <v>1415889.0843157549</v>
      </c>
      <c r="E2" s="11">
        <v>-28828.94</v>
      </c>
      <c r="F2" s="11">
        <f>-VLOOKUP(B2,'LUMP SUM'!$B$7:'LUMP SUM'!$C$101,2,FALSE)</f>
        <v>-100000</v>
      </c>
      <c r="H2" s="11">
        <f>SUM(D2:G2)</f>
        <v>1287060.144315755</v>
      </c>
      <c r="I2" s="11">
        <f>SUM(H2/C2)</f>
        <v>3984.7063291509444</v>
      </c>
      <c r="J2" s="11">
        <f>SUM(I2*0.985)</f>
        <v>3924.93573421368</v>
      </c>
      <c r="L2" s="21">
        <f>VLOOKUP(B2,AWPU!$B$7:'AWPU'!$M$102,12,FALSE)</f>
        <v>358</v>
      </c>
      <c r="M2" s="11">
        <f>VLOOKUP(B2,'2015-16 FORMULA'!$B$2:'2015-16 FORMULA'!$M$97,12,FALSE)</f>
        <v>1603315.2558930069</v>
      </c>
      <c r="N2" s="11">
        <f>-VLOOKUP(B2,RATES!$D$8:'RATES'!$E$116,2,FALSE)</f>
        <v>-22526.5</v>
      </c>
      <c r="O2" s="11">
        <f>-VLOOKUP(B2,'LUMP SUM'!$B$7:'LUMP SUM'!$C$101,2,FALSE)</f>
        <v>-100000</v>
      </c>
      <c r="Q2" s="11">
        <f>SUM(M2:P2)</f>
        <v>1480788.7558930069</v>
      </c>
      <c r="R2" s="11">
        <f>SUM(Q2/L2)</f>
        <v>4136.2814410419187</v>
      </c>
      <c r="S2" s="817"/>
      <c r="T2" s="11">
        <f>W2+AC2</f>
        <v>0</v>
      </c>
      <c r="U2" s="11" t="e">
        <v>#VALUE!</v>
      </c>
      <c r="V2" s="11">
        <f t="shared" ref="V2:V65" si="0">J2*L2</f>
        <v>1405126.9928484973</v>
      </c>
      <c r="W2" s="11">
        <f t="shared" ref="W2:W65" si="1">IF(V2&lt;Q2,0,V2-Q2)</f>
        <v>0</v>
      </c>
      <c r="X2" s="11">
        <f t="shared" ref="X2:X65" si="2">-IF(V2&lt;Q2,Q2-V2,0)</f>
        <v>-75661.763044509571</v>
      </c>
      <c r="Y2" s="11">
        <f t="shared" ref="Y2:Y65" si="3">-IF(V2&lt;Q2,(Q2-V2)/100*99.5,0)</f>
        <v>-75283.454229287032</v>
      </c>
      <c r="Z2" s="11">
        <f t="shared" ref="Z2:Z65" si="4">-IF(V2&lt;Q2,(Q2-V2)/100*99,0)</f>
        <v>-74905.145414064478</v>
      </c>
      <c r="AA2" s="11">
        <f t="shared" ref="AA2:AA65" si="5">-IF(V2&lt;Q2,(Q2-V2)/100*98.5,0)</f>
        <v>-74526.836598841939</v>
      </c>
      <c r="AB2" s="11">
        <f t="shared" ref="AB2:AB65" si="6">-IF(V2&lt;Q2,(Q2-V2)/100*98,0)</f>
        <v>-74148.527783619385</v>
      </c>
      <c r="AC2" s="11">
        <v>0</v>
      </c>
      <c r="AD2" s="11">
        <f>Q2-H2</f>
        <v>193728.61157725193</v>
      </c>
      <c r="AG2" s="30" t="s">
        <v>1115</v>
      </c>
      <c r="AH2" s="30">
        <v>323</v>
      </c>
      <c r="AI2" s="21">
        <f>AH2-L2</f>
        <v>-35</v>
      </c>
      <c r="AP2" s="21"/>
    </row>
    <row r="3" spans="1:42" x14ac:dyDescent="0.2">
      <c r="A3" s="9" t="s">
        <v>11</v>
      </c>
      <c r="B3" s="26">
        <v>2443</v>
      </c>
      <c r="C3" s="1028">
        <v>259</v>
      </c>
      <c r="D3" s="11">
        <v>931830.96291791019</v>
      </c>
      <c r="E3" s="11">
        <v>-14051.08</v>
      </c>
      <c r="F3" s="11">
        <f>-VLOOKUP(B3,'LUMP SUM'!$B$7:'LUMP SUM'!$C$101,2,FALSE)</f>
        <v>-100000</v>
      </c>
      <c r="H3" s="11">
        <f t="shared" ref="H3:H66" si="7">SUM(D3:G3)</f>
        <v>817779.88291791023</v>
      </c>
      <c r="I3" s="11">
        <f t="shared" ref="I3:I66" si="8">SUM(H3/C3)</f>
        <v>3157.451285397337</v>
      </c>
      <c r="J3" s="11">
        <f t="shared" ref="J3:J66" si="9">SUM(I3*0.985)</f>
        <v>3110.0895161163767</v>
      </c>
      <c r="L3" s="21">
        <f>VLOOKUP(B3,AWPU!$B$7:'AWPU'!$M$102,12,FALSE)</f>
        <v>255</v>
      </c>
      <c r="M3" s="11">
        <f>VLOOKUP(B3,'2015-16 FORMULA'!$B$2:'2015-16 FORMULA'!$M$97,12,FALSE)</f>
        <v>899135.04631108267</v>
      </c>
      <c r="N3" s="11">
        <f>-VLOOKUP(B3,RATES!$D$8:'RATES'!$E$116,2,FALSE)</f>
        <v>-3753.3899999999994</v>
      </c>
      <c r="O3" s="11">
        <f>-VLOOKUP(B3,'LUMP SUM'!$B$7:'LUMP SUM'!$C$101,2,FALSE)</f>
        <v>-100000</v>
      </c>
      <c r="Q3" s="11">
        <f t="shared" ref="Q3:Q66" si="10">SUM(M3:P3)</f>
        <v>795381.65631108265</v>
      </c>
      <c r="R3" s="11">
        <f t="shared" ref="R3:R66" si="11">SUM(Q3/L3)</f>
        <v>3119.1437502395397</v>
      </c>
      <c r="S3" s="817"/>
      <c r="T3" s="11">
        <f t="shared" ref="T3:T66" si="12">W3+AC3</f>
        <v>0</v>
      </c>
      <c r="U3" s="11" t="e">
        <v>#VALUE!</v>
      </c>
      <c r="V3" s="11">
        <f t="shared" si="0"/>
        <v>793072.82660967601</v>
      </c>
      <c r="W3" s="11">
        <f t="shared" si="1"/>
        <v>0</v>
      </c>
      <c r="X3" s="11">
        <f t="shared" si="2"/>
        <v>-2308.8297014066484</v>
      </c>
      <c r="Y3" s="11">
        <f t="shared" si="3"/>
        <v>-2297.2855528996151</v>
      </c>
      <c r="Z3" s="11">
        <f t="shared" si="4"/>
        <v>-2285.7414043925819</v>
      </c>
      <c r="AA3" s="11">
        <f t="shared" si="5"/>
        <v>-2274.1972558855487</v>
      </c>
      <c r="AB3" s="11">
        <f t="shared" si="6"/>
        <v>-2262.6531073785154</v>
      </c>
      <c r="AC3" s="11">
        <v>0</v>
      </c>
      <c r="AD3" s="11"/>
      <c r="AG3" s="30" t="s">
        <v>1116</v>
      </c>
      <c r="AH3" s="30">
        <v>259</v>
      </c>
      <c r="AI3" s="21">
        <f t="shared" ref="AI3:AI66" si="13">AH3-L3</f>
        <v>4</v>
      </c>
      <c r="AP3" s="21"/>
    </row>
    <row r="4" spans="1:42" x14ac:dyDescent="0.2">
      <c r="A4" s="9" t="s">
        <v>94</v>
      </c>
      <c r="B4" s="26">
        <v>2442</v>
      </c>
      <c r="C4" s="1028">
        <v>294</v>
      </c>
      <c r="D4" s="11">
        <v>1061770.2934254273</v>
      </c>
      <c r="E4" s="11">
        <v>-14051.08</v>
      </c>
      <c r="F4" s="11">
        <f>-VLOOKUP(B4,'LUMP SUM'!$B$7:'LUMP SUM'!$C$101,2,FALSE)</f>
        <v>-100000</v>
      </c>
      <c r="H4" s="11">
        <f t="shared" si="7"/>
        <v>947719.21342542733</v>
      </c>
      <c r="I4" s="11">
        <f t="shared" si="8"/>
        <v>3223.53473954227</v>
      </c>
      <c r="J4" s="11">
        <f t="shared" si="9"/>
        <v>3175.181718449136</v>
      </c>
      <c r="L4" s="21">
        <f>VLOOKUP(B4,AWPU!$B$7:'AWPU'!$M$102,12,FALSE)</f>
        <v>309</v>
      </c>
      <c r="M4" s="11">
        <f>VLOOKUP(B4,'2015-16 FORMULA'!$B$2:'2015-16 FORMULA'!$M$97,12,FALSE)</f>
        <v>1093634.7731745534</v>
      </c>
      <c r="N4" s="11">
        <f>-VLOOKUP(B4,RATES!$D$8:'RATES'!$E$116,2,FALSE)</f>
        <v>-3753.3899999999994</v>
      </c>
      <c r="O4" s="11">
        <f>-VLOOKUP(B4,'LUMP SUM'!$B$7:'LUMP SUM'!$C$101,2,FALSE)</f>
        <v>-100000</v>
      </c>
      <c r="Q4" s="11">
        <f t="shared" si="10"/>
        <v>989881.38317455351</v>
      </c>
      <c r="R4" s="11">
        <f t="shared" si="11"/>
        <v>3203.4996219241216</v>
      </c>
      <c r="S4" s="817"/>
      <c r="T4" s="11">
        <f t="shared" si="12"/>
        <v>0</v>
      </c>
      <c r="U4" s="11" t="e">
        <v>#VALUE!</v>
      </c>
      <c r="V4" s="11">
        <f t="shared" si="0"/>
        <v>981131.15100078308</v>
      </c>
      <c r="W4" s="11">
        <f t="shared" si="1"/>
        <v>0</v>
      </c>
      <c r="X4" s="11">
        <f t="shared" si="2"/>
        <v>-8750.2321737704333</v>
      </c>
      <c r="Y4" s="11">
        <f t="shared" si="3"/>
        <v>-8706.4810129015805</v>
      </c>
      <c r="Z4" s="11">
        <f t="shared" si="4"/>
        <v>-8662.7298520327295</v>
      </c>
      <c r="AA4" s="11">
        <f t="shared" si="5"/>
        <v>-8618.9786911638766</v>
      </c>
      <c r="AB4" s="11">
        <f t="shared" si="6"/>
        <v>-8575.2275302950256</v>
      </c>
      <c r="AC4" s="11">
        <v>0</v>
      </c>
      <c r="AD4" s="11"/>
      <c r="AG4" s="30" t="s">
        <v>1117</v>
      </c>
      <c r="AH4" s="30">
        <v>294</v>
      </c>
      <c r="AI4" s="21">
        <f t="shared" si="13"/>
        <v>-15</v>
      </c>
      <c r="AP4" s="21"/>
    </row>
    <row r="5" spans="1:42" x14ac:dyDescent="0.2">
      <c r="A5" s="9" t="s">
        <v>13</v>
      </c>
      <c r="B5" s="26">
        <v>2629</v>
      </c>
      <c r="C5" s="1028">
        <v>401</v>
      </c>
      <c r="D5" s="11">
        <v>1769927.5608734027</v>
      </c>
      <c r="E5" s="11">
        <v>-51396.38</v>
      </c>
      <c r="F5" s="11">
        <f>-VLOOKUP(B5,'LUMP SUM'!$B$7:'LUMP SUM'!$C$101,2,FALSE)</f>
        <v>-100000</v>
      </c>
      <c r="H5" s="11">
        <f t="shared" si="7"/>
        <v>1618531.1808734029</v>
      </c>
      <c r="I5" s="11">
        <f t="shared" si="8"/>
        <v>4036.2373587865409</v>
      </c>
      <c r="J5" s="11">
        <f t="shared" si="9"/>
        <v>3975.6937984047427</v>
      </c>
      <c r="L5" s="21">
        <f>VLOOKUP(B5,AWPU!$B$7:'AWPU'!$M$102,12,FALSE)</f>
        <v>431</v>
      </c>
      <c r="M5" s="11">
        <f>VLOOKUP(B5,'2015-16 FORMULA'!$B$2:'2015-16 FORMULA'!$M$97,12,FALSE)</f>
        <v>1823925.0876606521</v>
      </c>
      <c r="N5" s="11">
        <f>-VLOOKUP(B5,RATES!$D$8:'RATES'!$E$116,2,FALSE)</f>
        <v>-31287.54</v>
      </c>
      <c r="O5" s="11">
        <f>-VLOOKUP(B5,'LUMP SUM'!$B$7:'LUMP SUM'!$C$101,2,FALSE)</f>
        <v>-100000</v>
      </c>
      <c r="Q5" s="11">
        <f t="shared" si="10"/>
        <v>1692637.5476606521</v>
      </c>
      <c r="R5" s="11">
        <f t="shared" si="11"/>
        <v>3927.2332892358518</v>
      </c>
      <c r="S5" s="817"/>
      <c r="T5" s="11">
        <f t="shared" si="12"/>
        <v>20886.479451792082</v>
      </c>
      <c r="U5" s="11" t="e">
        <v>#VALUE!</v>
      </c>
      <c r="V5" s="11">
        <f t="shared" si="0"/>
        <v>1713524.0271124442</v>
      </c>
      <c r="W5" s="11">
        <f t="shared" si="1"/>
        <v>20886.479451792082</v>
      </c>
      <c r="X5" s="11">
        <f t="shared" si="2"/>
        <v>0</v>
      </c>
      <c r="Y5" s="11">
        <f t="shared" si="3"/>
        <v>0</v>
      </c>
      <c r="Z5" s="11">
        <f t="shared" si="4"/>
        <v>0</v>
      </c>
      <c r="AA5" s="11">
        <f t="shared" si="5"/>
        <v>0</v>
      </c>
      <c r="AB5" s="11">
        <f t="shared" si="6"/>
        <v>0</v>
      </c>
      <c r="AC5" s="11">
        <v>0</v>
      </c>
      <c r="AD5" s="11"/>
      <c r="AG5" s="30" t="s">
        <v>1118</v>
      </c>
      <c r="AH5" s="30">
        <v>401</v>
      </c>
      <c r="AI5" s="21">
        <f t="shared" si="13"/>
        <v>-30</v>
      </c>
      <c r="AP5" s="21"/>
    </row>
    <row r="6" spans="1:42" x14ac:dyDescent="0.2">
      <c r="A6" s="9" t="s">
        <v>14</v>
      </c>
      <c r="B6" s="26">
        <v>2509</v>
      </c>
      <c r="C6" s="1028">
        <v>188</v>
      </c>
      <c r="D6" s="11">
        <v>716614.0827158438</v>
      </c>
      <c r="E6" s="11">
        <v>-13203.17</v>
      </c>
      <c r="F6" s="11">
        <f>-VLOOKUP(B6,'LUMP SUM'!$B$7:'LUMP SUM'!$C$101,2,FALSE)</f>
        <v>-100000</v>
      </c>
      <c r="H6" s="11">
        <f t="shared" si="7"/>
        <v>603410.91271584376</v>
      </c>
      <c r="I6" s="11">
        <f t="shared" si="8"/>
        <v>3209.6325144459774</v>
      </c>
      <c r="J6" s="11">
        <f t="shared" si="9"/>
        <v>3161.4880267292879</v>
      </c>
      <c r="L6" s="21">
        <f>VLOOKUP(B6,AWPU!$B$7:'AWPU'!$M$102,12,FALSE)</f>
        <v>195</v>
      </c>
      <c r="M6" s="11">
        <f>VLOOKUP(B6,'2015-16 FORMULA'!$B$2:'2015-16 FORMULA'!$M$97,12,FALSE)</f>
        <v>737166.55640841241</v>
      </c>
      <c r="N6" s="11">
        <f>-VLOOKUP(B6,RATES!$D$8:'RATES'!$E$116,2,FALSE)</f>
        <v>-2482.17</v>
      </c>
      <c r="O6" s="11">
        <f>-VLOOKUP(B6,'LUMP SUM'!$B$7:'LUMP SUM'!$C$101,2,FALSE)</f>
        <v>-100000</v>
      </c>
      <c r="Q6" s="11">
        <f t="shared" si="10"/>
        <v>634684.38640841236</v>
      </c>
      <c r="R6" s="11">
        <f t="shared" si="11"/>
        <v>3254.7917251713457</v>
      </c>
      <c r="S6" s="817"/>
      <c r="T6" s="11">
        <f t="shared" si="12"/>
        <v>0</v>
      </c>
      <c r="U6" s="11" t="e">
        <v>#VALUE!</v>
      </c>
      <c r="V6" s="11">
        <f t="shared" si="0"/>
        <v>616490.16521221108</v>
      </c>
      <c r="W6" s="11">
        <f t="shared" si="1"/>
        <v>0</v>
      </c>
      <c r="X6" s="11">
        <f t="shared" si="2"/>
        <v>-18194.221196201281</v>
      </c>
      <c r="Y6" s="11">
        <f t="shared" si="3"/>
        <v>-18103.250090220274</v>
      </c>
      <c r="Z6" s="11">
        <f t="shared" si="4"/>
        <v>-18012.278984239267</v>
      </c>
      <c r="AA6" s="11">
        <f t="shared" si="5"/>
        <v>-17921.30787825826</v>
      </c>
      <c r="AB6" s="11">
        <f t="shared" si="6"/>
        <v>-17830.336772277256</v>
      </c>
      <c r="AC6" s="11">
        <v>0</v>
      </c>
      <c r="AD6" s="11"/>
      <c r="AG6" s="30" t="s">
        <v>1119</v>
      </c>
      <c r="AH6" s="30">
        <v>188</v>
      </c>
      <c r="AI6" s="21">
        <f t="shared" si="13"/>
        <v>-7</v>
      </c>
      <c r="AP6" s="21"/>
    </row>
    <row r="7" spans="1:42" x14ac:dyDescent="0.2">
      <c r="A7" s="9" t="s">
        <v>15</v>
      </c>
      <c r="B7" s="26">
        <v>2005</v>
      </c>
      <c r="C7" s="1028">
        <v>300</v>
      </c>
      <c r="D7" s="11">
        <v>1154390.3292955556</v>
      </c>
      <c r="E7" s="11">
        <v>-15262.38</v>
      </c>
      <c r="F7" s="11">
        <f>-VLOOKUP(B7,'LUMP SUM'!$B$7:'LUMP SUM'!$C$101,2,FALSE)</f>
        <v>-100000</v>
      </c>
      <c r="H7" s="11">
        <f t="shared" si="7"/>
        <v>1039127.9492955557</v>
      </c>
      <c r="I7" s="11">
        <f t="shared" si="8"/>
        <v>3463.7598309851855</v>
      </c>
      <c r="J7" s="11">
        <f t="shared" si="9"/>
        <v>3411.8034335204079</v>
      </c>
      <c r="L7" s="21">
        <f>VLOOKUP(B7,AWPU!$B$7:'AWPU'!$M$102,12,FALSE)</f>
        <v>323</v>
      </c>
      <c r="M7" s="11">
        <f>VLOOKUP(B7,'2015-16 FORMULA'!$B$2:'2015-16 FORMULA'!$M$97,12,FALSE)</f>
        <v>1262947.9783585914</v>
      </c>
      <c r="N7" s="11">
        <f>-VLOOKUP(B7,RATES!$D$8:'RATES'!$E$116,2,FALSE)</f>
        <v>-6447.2500000000009</v>
      </c>
      <c r="O7" s="11">
        <f>-VLOOKUP(B7,'LUMP SUM'!$B$7:'LUMP SUM'!$C$101,2,FALSE)</f>
        <v>-100000</v>
      </c>
      <c r="Q7" s="11">
        <f t="shared" si="10"/>
        <v>1156500.7283585914</v>
      </c>
      <c r="R7" s="11">
        <f t="shared" si="11"/>
        <v>3580.4976110173111</v>
      </c>
      <c r="S7" s="817"/>
      <c r="T7" s="11">
        <f t="shared" si="12"/>
        <v>0</v>
      </c>
      <c r="U7" s="11" t="e">
        <v>#VALUE!</v>
      </c>
      <c r="V7" s="11">
        <f t="shared" si="0"/>
        <v>1102012.5090270918</v>
      </c>
      <c r="W7" s="11">
        <f t="shared" si="1"/>
        <v>0</v>
      </c>
      <c r="X7" s="11">
        <f t="shared" si="2"/>
        <v>-54488.219331499655</v>
      </c>
      <c r="Y7" s="11">
        <f t="shared" si="3"/>
        <v>-54215.778234842161</v>
      </c>
      <c r="Z7" s="11">
        <f t="shared" si="4"/>
        <v>-53943.337138184659</v>
      </c>
      <c r="AA7" s="11">
        <f t="shared" si="5"/>
        <v>-53670.896041527165</v>
      </c>
      <c r="AB7" s="11">
        <f t="shared" si="6"/>
        <v>-53398.454944869663</v>
      </c>
      <c r="AC7" s="11">
        <v>0</v>
      </c>
      <c r="AD7" s="11"/>
      <c r="AG7" s="30" t="s">
        <v>1120</v>
      </c>
      <c r="AH7" s="30">
        <v>300</v>
      </c>
      <c r="AI7" s="21">
        <f t="shared" si="13"/>
        <v>-23</v>
      </c>
      <c r="AP7" s="21"/>
    </row>
    <row r="8" spans="1:42" x14ac:dyDescent="0.2">
      <c r="A8" s="9" t="s">
        <v>16</v>
      </c>
      <c r="B8" s="26">
        <v>2464</v>
      </c>
      <c r="C8" s="1028">
        <v>186</v>
      </c>
      <c r="D8" s="11">
        <v>734710.47342749813</v>
      </c>
      <c r="E8" s="11">
        <v>-12839.78</v>
      </c>
      <c r="F8" s="11">
        <f>-VLOOKUP(B8,'LUMP SUM'!$B$7:'LUMP SUM'!$C$101,2,FALSE)</f>
        <v>-100000</v>
      </c>
      <c r="H8" s="11">
        <f t="shared" si="7"/>
        <v>621870.6934274981</v>
      </c>
      <c r="I8" s="11">
        <f t="shared" si="8"/>
        <v>3343.3908248790221</v>
      </c>
      <c r="J8" s="11">
        <f t="shared" si="9"/>
        <v>3293.239962505837</v>
      </c>
      <c r="L8" s="21">
        <f>VLOOKUP(B8,AWPU!$B$7:'AWPU'!$M$102,12,FALSE)</f>
        <v>192</v>
      </c>
      <c r="M8" s="11">
        <f>VLOOKUP(B8,'2015-16 FORMULA'!$B$2:'2015-16 FORMULA'!$M$97,12,FALSE)</f>
        <v>688068.05962500162</v>
      </c>
      <c r="N8" s="11">
        <f>-VLOOKUP(B8,RATES!$D$8:'RATES'!$E$116,2,FALSE)</f>
        <v>578.09000000000015</v>
      </c>
      <c r="O8" s="11">
        <f>-VLOOKUP(B8,'LUMP SUM'!$B$7:'LUMP SUM'!$C$101,2,FALSE)</f>
        <v>-100000</v>
      </c>
      <c r="Q8" s="11">
        <f t="shared" si="10"/>
        <v>588646.14962500159</v>
      </c>
      <c r="R8" s="11">
        <f t="shared" si="11"/>
        <v>3065.8653626302166</v>
      </c>
      <c r="S8" s="817"/>
      <c r="T8" s="11">
        <f t="shared" si="12"/>
        <v>43655.923176119104</v>
      </c>
      <c r="U8" s="11" t="e">
        <v>#VALUE!</v>
      </c>
      <c r="V8" s="11">
        <f t="shared" si="0"/>
        <v>632302.0728011207</v>
      </c>
      <c r="W8" s="11">
        <f t="shared" si="1"/>
        <v>43655.923176119104</v>
      </c>
      <c r="X8" s="11">
        <f t="shared" si="2"/>
        <v>0</v>
      </c>
      <c r="Y8" s="11">
        <f t="shared" si="3"/>
        <v>0</v>
      </c>
      <c r="Z8" s="11">
        <f t="shared" si="4"/>
        <v>0</v>
      </c>
      <c r="AA8" s="11">
        <f t="shared" si="5"/>
        <v>0</v>
      </c>
      <c r="AB8" s="11">
        <f t="shared" si="6"/>
        <v>0</v>
      </c>
      <c r="AC8" s="11">
        <v>0</v>
      </c>
      <c r="AD8" s="11"/>
      <c r="AG8" s="30" t="s">
        <v>1121</v>
      </c>
      <c r="AH8" s="30">
        <v>186</v>
      </c>
      <c r="AI8" s="21">
        <f t="shared" si="13"/>
        <v>-6</v>
      </c>
      <c r="AP8" s="21"/>
    </row>
    <row r="9" spans="1:42" x14ac:dyDescent="0.2">
      <c r="A9" s="9" t="s">
        <v>17</v>
      </c>
      <c r="B9" s="26">
        <v>2004</v>
      </c>
      <c r="C9" s="1028">
        <v>265</v>
      </c>
      <c r="D9" s="11">
        <v>1227299.7001877301</v>
      </c>
      <c r="E9" s="11">
        <v>-15262.38</v>
      </c>
      <c r="F9" s="11">
        <f>-VLOOKUP(B9,'LUMP SUM'!$B$7:'LUMP SUM'!$C$101,2,FALSE)</f>
        <v>-100000</v>
      </c>
      <c r="H9" s="11">
        <f t="shared" si="7"/>
        <v>1112037.3201877302</v>
      </c>
      <c r="I9" s="11">
        <f t="shared" si="8"/>
        <v>4196.3672459914351</v>
      </c>
      <c r="J9" s="11">
        <f t="shared" si="9"/>
        <v>4133.4217373015636</v>
      </c>
      <c r="L9" s="21">
        <f>VLOOKUP(B9,AWPU!$B$7:'AWPU'!$M$102,12,FALSE)</f>
        <v>272</v>
      </c>
      <c r="M9" s="11">
        <f>VLOOKUP(B9,'2015-16 FORMULA'!$B$2:'2015-16 FORMULA'!$M$97,12,FALSE)</f>
        <v>1165026.8738204462</v>
      </c>
      <c r="N9" s="11">
        <f>-VLOOKUP(B9,RATES!$D$8:'RATES'!$E$116,2,FALSE)</f>
        <v>-198.68000000000029</v>
      </c>
      <c r="O9" s="11">
        <f>-VLOOKUP(B9,'LUMP SUM'!$B$7:'LUMP SUM'!$C$101,2,FALSE)</f>
        <v>-100000</v>
      </c>
      <c r="Q9" s="11">
        <f t="shared" si="10"/>
        <v>1064828.1938204463</v>
      </c>
      <c r="R9" s="11">
        <f t="shared" si="11"/>
        <v>3914.8095361045816</v>
      </c>
      <c r="S9" s="817"/>
      <c r="T9" s="11">
        <f t="shared" si="12"/>
        <v>59462.518725579139</v>
      </c>
      <c r="U9" s="11" t="e">
        <v>#VALUE!</v>
      </c>
      <c r="V9" s="11">
        <f t="shared" si="0"/>
        <v>1124290.7125460254</v>
      </c>
      <c r="W9" s="11">
        <f t="shared" si="1"/>
        <v>59462.518725579139</v>
      </c>
      <c r="X9" s="11">
        <f t="shared" si="2"/>
        <v>0</v>
      </c>
      <c r="Y9" s="11">
        <f t="shared" si="3"/>
        <v>0</v>
      </c>
      <c r="Z9" s="11">
        <f t="shared" si="4"/>
        <v>0</v>
      </c>
      <c r="AA9" s="11">
        <f t="shared" si="5"/>
        <v>0</v>
      </c>
      <c r="AB9" s="11">
        <f t="shared" si="6"/>
        <v>0</v>
      </c>
      <c r="AC9" s="11">
        <v>0</v>
      </c>
      <c r="AD9" s="11"/>
      <c r="AG9" s="30" t="s">
        <v>1122</v>
      </c>
      <c r="AH9" s="30">
        <v>265</v>
      </c>
      <c r="AI9" s="21">
        <f t="shared" si="13"/>
        <v>-7</v>
      </c>
      <c r="AP9" s="21"/>
    </row>
    <row r="10" spans="1:42" x14ac:dyDescent="0.2">
      <c r="A10" s="9" t="s">
        <v>18</v>
      </c>
      <c r="B10" s="26">
        <v>2405</v>
      </c>
      <c r="C10" s="1028">
        <v>196</v>
      </c>
      <c r="D10" s="11">
        <v>852211.24588609394</v>
      </c>
      <c r="E10" s="11">
        <v>-13324.300000000001</v>
      </c>
      <c r="F10" s="11">
        <f>-VLOOKUP(B10,'LUMP SUM'!$B$7:'LUMP SUM'!$C$101,2,FALSE)</f>
        <v>-100000</v>
      </c>
      <c r="H10" s="11">
        <f t="shared" si="7"/>
        <v>738886.94588609389</v>
      </c>
      <c r="I10" s="11">
        <f t="shared" si="8"/>
        <v>3769.8313565617036</v>
      </c>
      <c r="J10" s="11">
        <f t="shared" si="9"/>
        <v>3713.283886213278</v>
      </c>
      <c r="L10" s="21">
        <f>VLOOKUP(B10,AWPU!$B$7:'AWPU'!$M$102,12,FALSE)</f>
        <v>201</v>
      </c>
      <c r="M10" s="11">
        <f>VLOOKUP(B10,'2015-16 FORMULA'!$B$2:'2015-16 FORMULA'!$M$97,12,FALSE)</f>
        <v>831498.18000006443</v>
      </c>
      <c r="N10" s="11">
        <f>-VLOOKUP(B10,RATES!$D$8:'RATES'!$E$116,2,FALSE)</f>
        <v>5838.4700000000012</v>
      </c>
      <c r="O10" s="11">
        <f>-VLOOKUP(B10,'LUMP SUM'!$B$7:'LUMP SUM'!$C$101,2,FALSE)</f>
        <v>-100000</v>
      </c>
      <c r="Q10" s="11">
        <f t="shared" si="10"/>
        <v>737336.6500000644</v>
      </c>
      <c r="R10" s="11">
        <f t="shared" si="11"/>
        <v>3668.3415422888775</v>
      </c>
      <c r="S10" s="817"/>
      <c r="T10" s="11">
        <f t="shared" si="12"/>
        <v>9033.4111288044369</v>
      </c>
      <c r="U10" s="11" t="e">
        <v>#VALUE!</v>
      </c>
      <c r="V10" s="11">
        <f t="shared" si="0"/>
        <v>746370.06112886884</v>
      </c>
      <c r="W10" s="11">
        <f t="shared" si="1"/>
        <v>9033.4111288044369</v>
      </c>
      <c r="X10" s="11">
        <f t="shared" si="2"/>
        <v>0</v>
      </c>
      <c r="Y10" s="11">
        <f t="shared" si="3"/>
        <v>0</v>
      </c>
      <c r="Z10" s="11">
        <f t="shared" si="4"/>
        <v>0</v>
      </c>
      <c r="AA10" s="11">
        <f t="shared" si="5"/>
        <v>0</v>
      </c>
      <c r="AB10" s="11">
        <f t="shared" si="6"/>
        <v>0</v>
      </c>
      <c r="AC10" s="11">
        <v>0</v>
      </c>
      <c r="AD10" s="11"/>
      <c r="AG10" s="30" t="s">
        <v>1123</v>
      </c>
      <c r="AH10" s="30">
        <v>196</v>
      </c>
      <c r="AI10" s="21">
        <f t="shared" si="13"/>
        <v>-5</v>
      </c>
      <c r="AP10" s="21"/>
    </row>
    <row r="11" spans="1:42" x14ac:dyDescent="0.2">
      <c r="A11" s="9" t="s">
        <v>95</v>
      </c>
      <c r="B11" s="26">
        <v>2011</v>
      </c>
      <c r="C11" s="1028">
        <v>209</v>
      </c>
      <c r="D11" s="11">
        <v>791221.47505010129</v>
      </c>
      <c r="E11" s="11">
        <v>-5457.4500000000007</v>
      </c>
      <c r="F11" s="11">
        <f>-VLOOKUP(B11,'LUMP SUM'!$B$7:'LUMP SUM'!$C$101,2,FALSE)</f>
        <v>-100000</v>
      </c>
      <c r="H11" s="11">
        <f t="shared" si="7"/>
        <v>685764.02505010134</v>
      </c>
      <c r="I11" s="11">
        <f t="shared" si="8"/>
        <v>3281.1675839717768</v>
      </c>
      <c r="J11" s="11">
        <f t="shared" si="9"/>
        <v>3231.9500702122</v>
      </c>
      <c r="L11" s="21">
        <f>VLOOKUP(B11,AWPU!$B$7:'AWPU'!$M$102,12,FALSE)</f>
        <v>214</v>
      </c>
      <c r="M11" s="11">
        <f>VLOOKUP(B11,'2015-16 FORMULA'!$B$2:'2015-16 FORMULA'!$M$97,12,FALSE)</f>
        <v>794948.67074638081</v>
      </c>
      <c r="N11" s="11">
        <f>-VLOOKUP(B11,RATES!$D$8:'RATES'!$E$116,2,FALSE)</f>
        <v>-4856.0499999999993</v>
      </c>
      <c r="O11" s="11">
        <f>-VLOOKUP(B11,'LUMP SUM'!$B$7:'LUMP SUM'!$C$101,2,FALSE)</f>
        <v>-100000</v>
      </c>
      <c r="Q11" s="11">
        <f t="shared" si="10"/>
        <v>690092.62074638077</v>
      </c>
      <c r="R11" s="11">
        <f t="shared" si="11"/>
        <v>3224.7318726466392</v>
      </c>
      <c r="S11" s="817"/>
      <c r="T11" s="11">
        <f t="shared" si="12"/>
        <v>1544.6942790300818</v>
      </c>
      <c r="U11" s="11" t="e">
        <v>#VALUE!</v>
      </c>
      <c r="V11" s="11">
        <f t="shared" si="0"/>
        <v>691637.31502541085</v>
      </c>
      <c r="W11" s="11">
        <f t="shared" si="1"/>
        <v>1544.6942790300818</v>
      </c>
      <c r="X11" s="11">
        <f t="shared" si="2"/>
        <v>0</v>
      </c>
      <c r="Y11" s="11">
        <f t="shared" si="3"/>
        <v>0</v>
      </c>
      <c r="Z11" s="11">
        <f t="shared" si="4"/>
        <v>0</v>
      </c>
      <c r="AA11" s="11">
        <f t="shared" si="5"/>
        <v>0</v>
      </c>
      <c r="AB11" s="11">
        <f t="shared" si="6"/>
        <v>0</v>
      </c>
      <c r="AC11" s="11">
        <v>0</v>
      </c>
      <c r="AD11" s="11"/>
      <c r="AG11" s="30" t="s">
        <v>1124</v>
      </c>
      <c r="AH11" s="30">
        <v>209</v>
      </c>
      <c r="AI11" s="21">
        <f t="shared" si="13"/>
        <v>-5</v>
      </c>
      <c r="AP11" s="21"/>
    </row>
    <row r="12" spans="1:42" x14ac:dyDescent="0.2">
      <c r="A12" s="9" t="s">
        <v>20</v>
      </c>
      <c r="B12" s="26">
        <v>5201</v>
      </c>
      <c r="C12" s="1028">
        <v>392</v>
      </c>
      <c r="D12" s="11">
        <v>1279362.4377763839</v>
      </c>
      <c r="E12" s="11">
        <v>-82481.600000000006</v>
      </c>
      <c r="F12" s="11">
        <f>-VLOOKUP(B12,'LUMP SUM'!$B$7:'LUMP SUM'!$C$101,2,FALSE)</f>
        <v>-100000</v>
      </c>
      <c r="H12" s="11">
        <f t="shared" si="7"/>
        <v>1096880.8377763839</v>
      </c>
      <c r="I12" s="11">
        <f t="shared" si="8"/>
        <v>2798.1654024907753</v>
      </c>
      <c r="J12" s="11">
        <f t="shared" si="9"/>
        <v>2756.1929214534134</v>
      </c>
      <c r="L12" s="21">
        <f>VLOOKUP(B12,AWPU!$B$7:'AWPU'!$M$102,12,FALSE)</f>
        <v>419</v>
      </c>
      <c r="M12" s="11">
        <f>VLOOKUP(B12,'2015-16 FORMULA'!$B$2:'2015-16 FORMULA'!$M$97,12,FALSE)</f>
        <v>1263072.0269810278</v>
      </c>
      <c r="N12" s="11">
        <f>-VLOOKUP(B12,RATES!$D$8:'RATES'!$E$116,2,FALSE)</f>
        <v>496.40000000000146</v>
      </c>
      <c r="O12" s="11">
        <f>-VLOOKUP(B12,'LUMP SUM'!$B$7:'LUMP SUM'!$C$101,2,FALSE)</f>
        <v>-100000</v>
      </c>
      <c r="Q12" s="11">
        <f t="shared" si="10"/>
        <v>1163568.4269810277</v>
      </c>
      <c r="R12" s="11">
        <f t="shared" si="11"/>
        <v>2777.0129522220232</v>
      </c>
      <c r="S12" s="817"/>
      <c r="T12" s="11">
        <f t="shared" si="12"/>
        <v>0</v>
      </c>
      <c r="U12" s="11" t="e">
        <v>#VALUE!</v>
      </c>
      <c r="V12" s="11">
        <f t="shared" si="0"/>
        <v>1154844.8340889802</v>
      </c>
      <c r="W12" s="11">
        <f t="shared" si="1"/>
        <v>0</v>
      </c>
      <c r="X12" s="11">
        <f t="shared" si="2"/>
        <v>-8723.5928920474835</v>
      </c>
      <c r="Y12" s="11">
        <f t="shared" si="3"/>
        <v>-8679.9749275872455</v>
      </c>
      <c r="Z12" s="11">
        <f t="shared" si="4"/>
        <v>-8636.3569631270093</v>
      </c>
      <c r="AA12" s="11">
        <f t="shared" si="5"/>
        <v>-8592.7389986667713</v>
      </c>
      <c r="AB12" s="11">
        <f t="shared" si="6"/>
        <v>-8549.1210342065333</v>
      </c>
      <c r="AC12" s="11">
        <v>0</v>
      </c>
      <c r="AD12" s="11"/>
      <c r="AG12" s="30" t="s">
        <v>1127</v>
      </c>
      <c r="AH12" s="30">
        <v>392</v>
      </c>
      <c r="AI12" s="21">
        <f t="shared" si="13"/>
        <v>-27</v>
      </c>
      <c r="AP12" s="21"/>
    </row>
    <row r="13" spans="1:42" x14ac:dyDescent="0.2">
      <c r="A13" s="9" t="s">
        <v>96</v>
      </c>
      <c r="B13" s="26">
        <v>2007</v>
      </c>
      <c r="C13" s="1028">
        <v>259</v>
      </c>
      <c r="D13" s="11">
        <v>1061782.7519150472</v>
      </c>
      <c r="E13" s="11">
        <v>-2851.55</v>
      </c>
      <c r="F13" s="11">
        <f>-VLOOKUP(B13,'LUMP SUM'!$B$7:'LUMP SUM'!$C$101,2,FALSE)</f>
        <v>-100000</v>
      </c>
      <c r="H13" s="11">
        <f t="shared" si="7"/>
        <v>958931.20191504713</v>
      </c>
      <c r="I13" s="11">
        <f t="shared" si="8"/>
        <v>3702.4370730310702</v>
      </c>
      <c r="J13" s="11">
        <f t="shared" si="9"/>
        <v>3646.9005169356042</v>
      </c>
      <c r="L13" s="21">
        <f>VLOOKUP(B13,AWPU!$B$7:'AWPU'!$M$102,12,FALSE)</f>
        <v>304</v>
      </c>
      <c r="M13" s="11">
        <f>VLOOKUP(B13,'2015-16 FORMULA'!$B$2:'2015-16 FORMULA'!$M$97,12,FALSE)</f>
        <v>1247236.3551036895</v>
      </c>
      <c r="N13" s="11">
        <f>-VLOOKUP(B13,RATES!$D$8:'RATES'!$E$116,2,FALSE)</f>
        <v>-2514.2999999999993</v>
      </c>
      <c r="O13" s="11">
        <f>-VLOOKUP(B13,'LUMP SUM'!$B$7:'LUMP SUM'!$C$101,2,FALSE)</f>
        <v>-100000</v>
      </c>
      <c r="Q13" s="11">
        <f t="shared" si="10"/>
        <v>1144722.0551036894</v>
      </c>
      <c r="R13" s="11">
        <f t="shared" si="11"/>
        <v>3765.5330759989783</v>
      </c>
      <c r="S13" s="817"/>
      <c r="T13" s="11">
        <f t="shared" si="12"/>
        <v>0</v>
      </c>
      <c r="U13" s="11" t="e">
        <v>#VALUE!</v>
      </c>
      <c r="V13" s="11">
        <f t="shared" si="0"/>
        <v>1108657.7571484237</v>
      </c>
      <c r="W13" s="11">
        <f t="shared" si="1"/>
        <v>0</v>
      </c>
      <c r="X13" s="11">
        <f t="shared" si="2"/>
        <v>-36064.297955265734</v>
      </c>
      <c r="Y13" s="11">
        <f t="shared" si="3"/>
        <v>-35883.976465489402</v>
      </c>
      <c r="Z13" s="11">
        <f t="shared" si="4"/>
        <v>-35703.654975713078</v>
      </c>
      <c r="AA13" s="11">
        <f t="shared" si="5"/>
        <v>-35523.333485936746</v>
      </c>
      <c r="AB13" s="11">
        <f t="shared" si="6"/>
        <v>-35343.011996160414</v>
      </c>
      <c r="AC13" s="11">
        <v>0</v>
      </c>
      <c r="AD13" s="11"/>
      <c r="AG13" s="30" t="s">
        <v>1128</v>
      </c>
      <c r="AH13" s="30">
        <v>259</v>
      </c>
      <c r="AI13" s="21">
        <f t="shared" si="13"/>
        <v>-45</v>
      </c>
      <c r="AP13" s="21"/>
    </row>
    <row r="14" spans="1:42" x14ac:dyDescent="0.2">
      <c r="A14" s="9" t="s">
        <v>21</v>
      </c>
      <c r="B14" s="26">
        <v>2433</v>
      </c>
      <c r="C14" s="1028">
        <v>169</v>
      </c>
      <c r="D14" s="11">
        <v>744605.45304059109</v>
      </c>
      <c r="E14" s="11">
        <v>-8115.46</v>
      </c>
      <c r="F14" s="11">
        <f>-VLOOKUP(B14,'LUMP SUM'!$B$7:'LUMP SUM'!$C$101,2,FALSE)</f>
        <v>-100000</v>
      </c>
      <c r="H14" s="11">
        <f t="shared" si="7"/>
        <v>636489.99304059113</v>
      </c>
      <c r="I14" s="11">
        <f t="shared" si="8"/>
        <v>3766.2129765715454</v>
      </c>
      <c r="J14" s="11">
        <f t="shared" si="9"/>
        <v>3709.7197819229723</v>
      </c>
      <c r="L14" s="21">
        <f>VLOOKUP(B14,AWPU!$B$7:'AWPU'!$M$102,12,FALSE)</f>
        <v>172</v>
      </c>
      <c r="M14" s="11">
        <f>VLOOKUP(B14,'2015-16 FORMULA'!$B$2:'2015-16 FORMULA'!$M$97,12,FALSE)</f>
        <v>679955.36829449912</v>
      </c>
      <c r="N14" s="11">
        <f>-VLOOKUP(B14,RATES!$D$8:'RATES'!$E$116,2,FALSE)</f>
        <v>-1085.7350000000006</v>
      </c>
      <c r="O14" s="11">
        <f>-VLOOKUP(B14,'LUMP SUM'!$B$7:'LUMP SUM'!$C$101,2,FALSE)</f>
        <v>-100000</v>
      </c>
      <c r="Q14" s="11">
        <f t="shared" si="10"/>
        <v>578869.63329449913</v>
      </c>
      <c r="R14" s="11">
        <f t="shared" si="11"/>
        <v>3365.5211238052275</v>
      </c>
      <c r="S14" s="817"/>
      <c r="T14" s="11">
        <f t="shared" si="12"/>
        <v>59202.169196252129</v>
      </c>
      <c r="U14" s="11" t="e">
        <v>#VALUE!</v>
      </c>
      <c r="V14" s="11">
        <f t="shared" si="0"/>
        <v>638071.80249075126</v>
      </c>
      <c r="W14" s="11">
        <f t="shared" si="1"/>
        <v>59202.169196252129</v>
      </c>
      <c r="X14" s="11">
        <f t="shared" si="2"/>
        <v>0</v>
      </c>
      <c r="Y14" s="11">
        <f t="shared" si="3"/>
        <v>0</v>
      </c>
      <c r="Z14" s="11">
        <f t="shared" si="4"/>
        <v>0</v>
      </c>
      <c r="AA14" s="11">
        <f t="shared" si="5"/>
        <v>0</v>
      </c>
      <c r="AB14" s="11">
        <f t="shared" si="6"/>
        <v>0</v>
      </c>
      <c r="AC14" s="11">
        <v>0</v>
      </c>
      <c r="AD14" s="11"/>
      <c r="AG14" s="30" t="s">
        <v>1130</v>
      </c>
      <c r="AH14" s="30">
        <v>169</v>
      </c>
      <c r="AI14" s="21">
        <f t="shared" si="13"/>
        <v>-3</v>
      </c>
      <c r="AP14" s="21"/>
    </row>
    <row r="15" spans="1:42" x14ac:dyDescent="0.2">
      <c r="A15" s="9" t="s">
        <v>22</v>
      </c>
      <c r="B15" s="26">
        <v>2432</v>
      </c>
      <c r="C15" s="1028">
        <v>199</v>
      </c>
      <c r="D15" s="11">
        <v>814715.87020250026</v>
      </c>
      <c r="E15" s="11">
        <v>-8116.46</v>
      </c>
      <c r="F15" s="11">
        <f>-VLOOKUP(B15,'LUMP SUM'!$B$7:'LUMP SUM'!$C$101,2,FALSE)</f>
        <v>-100000</v>
      </c>
      <c r="H15" s="11">
        <f t="shared" si="7"/>
        <v>706599.41020250029</v>
      </c>
      <c r="I15" s="11">
        <f t="shared" si="8"/>
        <v>3550.75080503769</v>
      </c>
      <c r="J15" s="11">
        <f t="shared" si="9"/>
        <v>3497.4895429621247</v>
      </c>
      <c r="L15" s="21">
        <f>VLOOKUP(B15,AWPU!$B$7:'AWPU'!$M$102,12,FALSE)</f>
        <v>205</v>
      </c>
      <c r="M15" s="11">
        <f>VLOOKUP(B15,'2015-16 FORMULA'!$B$2:'2015-16 FORMULA'!$M$97,12,FALSE)</f>
        <v>791218.75570614997</v>
      </c>
      <c r="N15" s="11">
        <f>-VLOOKUP(B15,RATES!$D$8:'RATES'!$E$116,2,FALSE)</f>
        <v>-1085.7350000000006</v>
      </c>
      <c r="O15" s="11">
        <f>-VLOOKUP(B15,'LUMP SUM'!$B$7:'LUMP SUM'!$C$101,2,FALSE)</f>
        <v>-100000</v>
      </c>
      <c r="Q15" s="11">
        <f t="shared" si="10"/>
        <v>690133.02070614998</v>
      </c>
      <c r="R15" s="11">
        <f t="shared" si="11"/>
        <v>3366.5025400300001</v>
      </c>
      <c r="S15" s="817"/>
      <c r="T15" s="11">
        <f t="shared" si="12"/>
        <v>26852.335601085564</v>
      </c>
      <c r="U15" s="11" t="e">
        <v>#VALUE!</v>
      </c>
      <c r="V15" s="11">
        <f t="shared" si="0"/>
        <v>716985.35630723555</v>
      </c>
      <c r="W15" s="11">
        <f t="shared" si="1"/>
        <v>26852.335601085564</v>
      </c>
      <c r="X15" s="11">
        <f t="shared" si="2"/>
        <v>0</v>
      </c>
      <c r="Y15" s="11">
        <f t="shared" si="3"/>
        <v>0</v>
      </c>
      <c r="Z15" s="11">
        <f t="shared" si="4"/>
        <v>0</v>
      </c>
      <c r="AA15" s="11">
        <f t="shared" si="5"/>
        <v>0</v>
      </c>
      <c r="AB15" s="11">
        <f t="shared" si="6"/>
        <v>0</v>
      </c>
      <c r="AC15" s="11">
        <v>0</v>
      </c>
      <c r="AD15" s="11"/>
      <c r="AG15" s="30" t="s">
        <v>1131</v>
      </c>
      <c r="AH15" s="30">
        <v>199</v>
      </c>
      <c r="AI15" s="21">
        <f t="shared" si="13"/>
        <v>-6</v>
      </c>
      <c r="AP15" s="21"/>
    </row>
    <row r="16" spans="1:42" s="11" customFormat="1" x14ac:dyDescent="0.2">
      <c r="A16" s="9" t="s">
        <v>199</v>
      </c>
      <c r="B16" s="26">
        <v>2447</v>
      </c>
      <c r="C16" s="1028">
        <v>402</v>
      </c>
      <c r="D16" s="11">
        <v>1604920.421323332</v>
      </c>
      <c r="E16" s="11">
        <v>-17927.240000000002</v>
      </c>
      <c r="F16" s="1073">
        <f>-VLOOKUP(B16,'LUMP SUM'!$B$7:'LUMP SUM'!$C$101,2,FALSE)-70000</f>
        <v>-170000</v>
      </c>
      <c r="H16" s="11">
        <f t="shared" si="7"/>
        <v>1416993.181323332</v>
      </c>
      <c r="I16" s="11">
        <f t="shared" si="8"/>
        <v>3524.8586600082886</v>
      </c>
      <c r="J16" s="11">
        <f t="shared" si="9"/>
        <v>3471.9857801081644</v>
      </c>
      <c r="L16" s="21">
        <f>VLOOKUP(B16,AWPU!$B$7:'AWPU'!$M$102,12,FALSE)</f>
        <v>419</v>
      </c>
      <c r="M16" s="11">
        <f>VLOOKUP(B16,'2015-16 FORMULA'!$B$2:'2015-16 FORMULA'!$M$97,12,FALSE)</f>
        <v>1496393.455519242</v>
      </c>
      <c r="N16" s="11">
        <f>-VLOOKUP(B16,RATES!$D$8:'RATES'!$E$116,2,FALSE)</f>
        <v>-6946.92</v>
      </c>
      <c r="O16" s="1073">
        <f>-VLOOKUP(B16,'LUMP SUM'!$B$7:'LUMP SUM'!$C$101,2,FALSE)</f>
        <v>-100000</v>
      </c>
      <c r="Q16" s="11">
        <f t="shared" si="10"/>
        <v>1389446.5355192421</v>
      </c>
      <c r="R16" s="11">
        <f t="shared" si="11"/>
        <v>3316.1015167523678</v>
      </c>
      <c r="S16" s="817"/>
      <c r="T16" s="11">
        <f t="shared" si="12"/>
        <v>65315.506346078822</v>
      </c>
      <c r="U16" s="1073" t="e">
        <v>#VALUE!</v>
      </c>
      <c r="V16" s="11">
        <f t="shared" si="0"/>
        <v>1454762.0418653209</v>
      </c>
      <c r="W16" s="11">
        <f t="shared" si="1"/>
        <v>65315.506346078822</v>
      </c>
      <c r="X16" s="11">
        <f t="shared" si="2"/>
        <v>0</v>
      </c>
      <c r="Y16" s="11">
        <f t="shared" si="3"/>
        <v>0</v>
      </c>
      <c r="Z16" s="11">
        <f t="shared" si="4"/>
        <v>0</v>
      </c>
      <c r="AA16" s="11">
        <f t="shared" si="5"/>
        <v>0</v>
      </c>
      <c r="AB16" s="11">
        <f t="shared" si="6"/>
        <v>0</v>
      </c>
      <c r="AC16" s="11">
        <v>0</v>
      </c>
      <c r="AG16" s="30" t="s">
        <v>1132</v>
      </c>
      <c r="AH16" s="30">
        <v>225</v>
      </c>
      <c r="AI16" s="21">
        <f t="shared" si="13"/>
        <v>-194</v>
      </c>
      <c r="AN16" s="30"/>
      <c r="AO16" s="30"/>
      <c r="AP16" s="21"/>
    </row>
    <row r="17" spans="1:42" s="11" customFormat="1" x14ac:dyDescent="0.2">
      <c r="A17" s="9" t="s">
        <v>23</v>
      </c>
      <c r="B17" s="26">
        <v>2512</v>
      </c>
      <c r="C17" s="1028">
        <v>208</v>
      </c>
      <c r="D17" s="11">
        <v>708163.02243120095</v>
      </c>
      <c r="E17" s="11">
        <v>-15262.38</v>
      </c>
      <c r="F17" s="11">
        <f>-VLOOKUP(B17,'LUMP SUM'!$B$7:'LUMP SUM'!$C$101,2,FALSE)</f>
        <v>-100000</v>
      </c>
      <c r="H17" s="11">
        <f t="shared" si="7"/>
        <v>592900.64243120095</v>
      </c>
      <c r="I17" s="11">
        <f t="shared" si="8"/>
        <v>2850.4838578423123</v>
      </c>
      <c r="J17" s="11">
        <f t="shared" si="9"/>
        <v>2807.7265999746778</v>
      </c>
      <c r="L17" s="21">
        <f>VLOOKUP(B17,AWPU!$B$7:'AWPU'!$M$102,12,FALSE)</f>
        <v>206</v>
      </c>
      <c r="M17" s="11">
        <f>VLOOKUP(B17,'2015-16 FORMULA'!$B$2:'2015-16 FORMULA'!$M$97,12,FALSE)</f>
        <v>701364.57414320181</v>
      </c>
      <c r="N17" s="11">
        <f>-VLOOKUP(B17,RATES!$D$8:'RATES'!$E$116,2,FALSE)</f>
        <v>-12531.54</v>
      </c>
      <c r="O17" s="11">
        <f>-VLOOKUP(B17,'LUMP SUM'!$B$7:'LUMP SUM'!$C$101,2,FALSE)</f>
        <v>-100000</v>
      </c>
      <c r="Q17" s="11">
        <f t="shared" si="10"/>
        <v>588833.03414320177</v>
      </c>
      <c r="R17" s="11">
        <f t="shared" si="11"/>
        <v>2858.4127871029214</v>
      </c>
      <c r="S17" s="817"/>
      <c r="T17" s="11">
        <f t="shared" si="12"/>
        <v>0</v>
      </c>
      <c r="U17" s="11" t="e">
        <v>#VALUE!</v>
      </c>
      <c r="V17" s="11">
        <f t="shared" si="0"/>
        <v>578391.67959478358</v>
      </c>
      <c r="W17" s="11">
        <f t="shared" si="1"/>
        <v>0</v>
      </c>
      <c r="X17" s="11">
        <f t="shared" si="2"/>
        <v>-10441.354548418196</v>
      </c>
      <c r="Y17" s="11">
        <f t="shared" si="3"/>
        <v>-10389.147775676105</v>
      </c>
      <c r="Z17" s="11">
        <f t="shared" si="4"/>
        <v>-10336.941002934012</v>
      </c>
      <c r="AA17" s="11">
        <f t="shared" si="5"/>
        <v>-10284.734230191922</v>
      </c>
      <c r="AB17" s="11">
        <f t="shared" si="6"/>
        <v>-10232.527457449831</v>
      </c>
      <c r="AC17" s="11">
        <v>0</v>
      </c>
      <c r="AG17" s="30" t="s">
        <v>1133</v>
      </c>
      <c r="AH17" s="30">
        <v>208</v>
      </c>
      <c r="AI17" s="21">
        <f t="shared" si="13"/>
        <v>2</v>
      </c>
      <c r="AN17" s="30"/>
      <c r="AO17" s="30"/>
      <c r="AP17" s="21"/>
    </row>
    <row r="18" spans="1:42" s="11" customFormat="1" x14ac:dyDescent="0.2">
      <c r="A18" s="9" t="s">
        <v>24</v>
      </c>
      <c r="B18" s="26">
        <v>2456</v>
      </c>
      <c r="C18" s="1028">
        <v>178</v>
      </c>
      <c r="D18" s="11">
        <v>603618.00737962942</v>
      </c>
      <c r="E18" s="11">
        <v>-9084.75</v>
      </c>
      <c r="F18" s="11">
        <f>-VLOOKUP(B18,'LUMP SUM'!$B$7:'LUMP SUM'!$C$101,2,FALSE)</f>
        <v>-100000</v>
      </c>
      <c r="H18" s="11">
        <f t="shared" si="7"/>
        <v>494533.25737962942</v>
      </c>
      <c r="I18" s="11">
        <f t="shared" si="8"/>
        <v>2778.2767268518505</v>
      </c>
      <c r="J18" s="11">
        <f t="shared" si="9"/>
        <v>2736.6025759490726</v>
      </c>
      <c r="L18" s="21">
        <f>VLOOKUP(B18,AWPU!$B$7:'AWPU'!$M$102,12,FALSE)</f>
        <v>179</v>
      </c>
      <c r="M18" s="11">
        <f>VLOOKUP(B18,'2015-16 FORMULA'!$B$2:'2015-16 FORMULA'!$M$97,12,FALSE)</f>
        <v>616546.33503174852</v>
      </c>
      <c r="N18" s="11">
        <f>-VLOOKUP(B18,RATES!$D$8:'RATES'!$E$116,2,FALSE)</f>
        <v>-4975.5</v>
      </c>
      <c r="O18" s="11">
        <f>-VLOOKUP(B18,'LUMP SUM'!$B$7:'LUMP SUM'!$C$101,2,FALSE)</f>
        <v>-100000</v>
      </c>
      <c r="Q18" s="11">
        <f t="shared" si="10"/>
        <v>511570.83503174852</v>
      </c>
      <c r="R18" s="11">
        <f t="shared" si="11"/>
        <v>2857.9376258756902</v>
      </c>
      <c r="S18" s="817"/>
      <c r="T18" s="11">
        <f t="shared" si="12"/>
        <v>0</v>
      </c>
      <c r="U18" s="11" t="e">
        <v>#VALUE!</v>
      </c>
      <c r="V18" s="11">
        <f t="shared" si="0"/>
        <v>489851.86109488399</v>
      </c>
      <c r="W18" s="11">
        <f t="shared" si="1"/>
        <v>0</v>
      </c>
      <c r="X18" s="11">
        <f t="shared" si="2"/>
        <v>-21718.973936864524</v>
      </c>
      <c r="Y18" s="11">
        <f t="shared" si="3"/>
        <v>-21610.379067180202</v>
      </c>
      <c r="Z18" s="11">
        <f t="shared" si="4"/>
        <v>-21501.784197495879</v>
      </c>
      <c r="AA18" s="11">
        <f t="shared" si="5"/>
        <v>-21393.189327811557</v>
      </c>
      <c r="AB18" s="11">
        <f t="shared" si="6"/>
        <v>-21284.594458127234</v>
      </c>
      <c r="AC18" s="11">
        <v>0</v>
      </c>
      <c r="AG18" s="30" t="s">
        <v>1134</v>
      </c>
      <c r="AH18" s="30">
        <v>178</v>
      </c>
      <c r="AI18" s="21">
        <f t="shared" si="13"/>
        <v>-1</v>
      </c>
      <c r="AN18" s="30"/>
      <c r="AO18" s="30"/>
      <c r="AP18" s="21"/>
    </row>
    <row r="19" spans="1:42" s="11" customFormat="1" x14ac:dyDescent="0.2">
      <c r="A19" s="9" t="s">
        <v>25</v>
      </c>
      <c r="B19" s="26">
        <v>2449</v>
      </c>
      <c r="C19" s="1028">
        <v>268</v>
      </c>
      <c r="D19" s="11">
        <v>915394.06383101828</v>
      </c>
      <c r="E19" s="11">
        <v>-11749.61</v>
      </c>
      <c r="F19" s="11">
        <f>-VLOOKUP(B19,'LUMP SUM'!$B$7:'LUMP SUM'!$C$101,2,FALSE)</f>
        <v>-100000</v>
      </c>
      <c r="H19" s="11">
        <f t="shared" si="7"/>
        <v>803644.4538310183</v>
      </c>
      <c r="I19" s="11">
        <f t="shared" si="8"/>
        <v>2998.6733351903667</v>
      </c>
      <c r="J19" s="11">
        <f t="shared" si="9"/>
        <v>2953.6932351625114</v>
      </c>
      <c r="L19" s="21">
        <f>VLOOKUP(B19,AWPU!$B$7:'AWPU'!$M$102,12,FALSE)</f>
        <v>270</v>
      </c>
      <c r="M19" s="11">
        <f>VLOOKUP(B19,'2015-16 FORMULA'!$B$2:'2015-16 FORMULA'!$M$97,12,FALSE)</f>
        <v>904864.95523750631</v>
      </c>
      <c r="N19" s="11">
        <f>-VLOOKUP(B19,RATES!$D$8:'RATES'!$E$116,2,FALSE)</f>
        <v>3729.0200000000004</v>
      </c>
      <c r="O19" s="11">
        <f>-VLOOKUP(B19,'LUMP SUM'!$B$7:'LUMP SUM'!$C$101,2,FALSE)</f>
        <v>-100000</v>
      </c>
      <c r="Q19" s="11">
        <f t="shared" si="10"/>
        <v>808593.97523750633</v>
      </c>
      <c r="R19" s="11">
        <f t="shared" si="11"/>
        <v>2994.7925008796528</v>
      </c>
      <c r="S19" s="817"/>
      <c r="T19" s="11">
        <f t="shared" si="12"/>
        <v>0</v>
      </c>
      <c r="U19" s="11" t="e">
        <v>#VALUE!</v>
      </c>
      <c r="V19" s="11">
        <f t="shared" si="0"/>
        <v>797497.1734938781</v>
      </c>
      <c r="W19" s="11">
        <f t="shared" si="1"/>
        <v>0</v>
      </c>
      <c r="X19" s="11">
        <f t="shared" si="2"/>
        <v>-11096.801743628224</v>
      </c>
      <c r="Y19" s="11">
        <f t="shared" si="3"/>
        <v>-11041.317734910082</v>
      </c>
      <c r="Z19" s="11">
        <f t="shared" si="4"/>
        <v>-10985.833726191942</v>
      </c>
      <c r="AA19" s="11">
        <f t="shared" si="5"/>
        <v>-10930.3497174738</v>
      </c>
      <c r="AB19" s="11">
        <f t="shared" si="6"/>
        <v>-10874.865708755658</v>
      </c>
      <c r="AC19" s="11">
        <v>0</v>
      </c>
      <c r="AG19" s="30" t="s">
        <v>1135</v>
      </c>
      <c r="AH19" s="30">
        <v>268</v>
      </c>
      <c r="AI19" s="21">
        <f t="shared" si="13"/>
        <v>-2</v>
      </c>
      <c r="AN19" s="30"/>
      <c r="AO19" s="30"/>
      <c r="AP19" s="21"/>
    </row>
    <row r="20" spans="1:42" s="11" customFormat="1" x14ac:dyDescent="0.2">
      <c r="A20" s="9" t="s">
        <v>26</v>
      </c>
      <c r="B20" s="26">
        <v>2448</v>
      </c>
      <c r="C20" s="1028">
        <v>311</v>
      </c>
      <c r="D20" s="11">
        <v>1048314.6912650529</v>
      </c>
      <c r="E20" s="11">
        <v>-17321.59</v>
      </c>
      <c r="F20" s="11">
        <f>-VLOOKUP(B20,'LUMP SUM'!$B$7:'LUMP SUM'!$C$101,2,FALSE)</f>
        <v>-100000</v>
      </c>
      <c r="H20" s="11">
        <f t="shared" si="7"/>
        <v>930993.10126505292</v>
      </c>
      <c r="I20" s="11">
        <f t="shared" si="8"/>
        <v>2993.546949405315</v>
      </c>
      <c r="J20" s="11">
        <f t="shared" si="9"/>
        <v>2948.643745164235</v>
      </c>
      <c r="L20" s="21">
        <f>VLOOKUP(B20,AWPU!$B$7:'AWPU'!$M$102,12,FALSE)</f>
        <v>334</v>
      </c>
      <c r="M20" s="11">
        <f>VLOOKUP(B20,'2015-16 FORMULA'!$B$2:'2015-16 FORMULA'!$M$97,12,FALSE)</f>
        <v>1132561.3022385533</v>
      </c>
      <c r="N20" s="11">
        <f>-VLOOKUP(B20,RATES!$D$8:'RATES'!$E$116,2,FALSE)</f>
        <v>3805.6899999999987</v>
      </c>
      <c r="O20" s="11">
        <f>-VLOOKUP(B20,'LUMP SUM'!$B$7:'LUMP SUM'!$C$101,2,FALSE)</f>
        <v>-100000</v>
      </c>
      <c r="Q20" s="11">
        <f t="shared" si="10"/>
        <v>1036366.9922385532</v>
      </c>
      <c r="R20" s="11">
        <f t="shared" si="11"/>
        <v>3102.8951863429738</v>
      </c>
      <c r="S20" s="817"/>
      <c r="T20" s="11">
        <f t="shared" si="12"/>
        <v>0</v>
      </c>
      <c r="U20" s="11" t="e">
        <v>#VALUE!</v>
      </c>
      <c r="V20" s="11">
        <f t="shared" si="0"/>
        <v>984847.01088485448</v>
      </c>
      <c r="W20" s="11">
        <f t="shared" si="1"/>
        <v>0</v>
      </c>
      <c r="X20" s="11">
        <f t="shared" si="2"/>
        <v>-51519.981353698764</v>
      </c>
      <c r="Y20" s="11">
        <f t="shared" si="3"/>
        <v>-51262.381446930274</v>
      </c>
      <c r="Z20" s="11">
        <f t="shared" si="4"/>
        <v>-51004.781540161777</v>
      </c>
      <c r="AA20" s="11">
        <f t="shared" si="5"/>
        <v>-50747.181633393287</v>
      </c>
      <c r="AB20" s="11">
        <f t="shared" si="6"/>
        <v>-50489.58172662479</v>
      </c>
      <c r="AC20" s="11">
        <v>0</v>
      </c>
      <c r="AG20" s="30" t="s">
        <v>1136</v>
      </c>
      <c r="AH20" s="30">
        <v>311</v>
      </c>
      <c r="AI20" s="21">
        <f t="shared" si="13"/>
        <v>-23</v>
      </c>
      <c r="AN20" s="30"/>
      <c r="AO20" s="30"/>
      <c r="AP20" s="21"/>
    </row>
    <row r="21" spans="1:42" s="11" customFormat="1" x14ac:dyDescent="0.2">
      <c r="A21" s="9" t="s">
        <v>126</v>
      </c>
      <c r="B21" s="26">
        <v>2467</v>
      </c>
      <c r="C21" s="1028">
        <v>362</v>
      </c>
      <c r="D21" s="11">
        <v>1300092.4981769405</v>
      </c>
      <c r="E21" s="11">
        <v>-12960.91</v>
      </c>
      <c r="F21" s="11">
        <f>-VLOOKUP(B21,'LUMP SUM'!$B$7:'LUMP SUM'!$C$101,2,FALSE)</f>
        <v>-100000</v>
      </c>
      <c r="H21" s="11">
        <f t="shared" si="7"/>
        <v>1187131.5881769406</v>
      </c>
      <c r="I21" s="11">
        <f t="shared" si="8"/>
        <v>3279.3690281130953</v>
      </c>
      <c r="J21" s="11">
        <f t="shared" si="9"/>
        <v>3230.1784926913988</v>
      </c>
      <c r="L21" s="21">
        <f>VLOOKUP(B21,AWPU!$B$7:'AWPU'!$M$102,12,FALSE)</f>
        <v>349</v>
      </c>
      <c r="M21" s="11">
        <f>VLOOKUP(B21,'2015-16 FORMULA'!$B$2:'2015-16 FORMULA'!$M$97,12,FALSE)</f>
        <v>1166000.7597649603</v>
      </c>
      <c r="N21" s="11">
        <f>-VLOOKUP(B21,RATES!$D$8:'RATES'!$E$116,2,FALSE)</f>
        <v>-434.30000000000109</v>
      </c>
      <c r="O21" s="11">
        <f>-VLOOKUP(B21,'LUMP SUM'!$B$7:'LUMP SUM'!$C$101,2,FALSE)</f>
        <v>-100000</v>
      </c>
      <c r="Q21" s="11">
        <f t="shared" si="10"/>
        <v>1065566.4597649602</v>
      </c>
      <c r="R21" s="11">
        <f t="shared" si="11"/>
        <v>3053.1990251144994</v>
      </c>
      <c r="S21" s="817"/>
      <c r="T21" s="11">
        <f t="shared" si="12"/>
        <v>61765.834184337873</v>
      </c>
      <c r="U21" s="11" t="e">
        <v>#VALUE!</v>
      </c>
      <c r="V21" s="11">
        <f t="shared" si="0"/>
        <v>1127332.2939492981</v>
      </c>
      <c r="W21" s="11">
        <f t="shared" si="1"/>
        <v>61765.834184337873</v>
      </c>
      <c r="X21" s="11">
        <f t="shared" si="2"/>
        <v>0</v>
      </c>
      <c r="Y21" s="11">
        <f t="shared" si="3"/>
        <v>0</v>
      </c>
      <c r="Z21" s="11">
        <f t="shared" si="4"/>
        <v>0</v>
      </c>
      <c r="AA21" s="11">
        <f t="shared" si="5"/>
        <v>0</v>
      </c>
      <c r="AB21" s="11">
        <f t="shared" si="6"/>
        <v>0</v>
      </c>
      <c r="AC21" s="11">
        <v>0</v>
      </c>
      <c r="AG21" s="30" t="s">
        <v>1137</v>
      </c>
      <c r="AH21" s="30">
        <v>362</v>
      </c>
      <c r="AI21" s="21">
        <f t="shared" si="13"/>
        <v>13</v>
      </c>
      <c r="AN21" s="30"/>
      <c r="AO21" s="30"/>
      <c r="AP21" s="21"/>
    </row>
    <row r="22" spans="1:42" s="11" customFormat="1" x14ac:dyDescent="0.2">
      <c r="A22" s="9" t="s">
        <v>28</v>
      </c>
      <c r="B22" s="26">
        <v>2455</v>
      </c>
      <c r="C22" s="1028">
        <v>355</v>
      </c>
      <c r="D22" s="11">
        <v>1116350.2223692746</v>
      </c>
      <c r="E22" s="11">
        <v>-25195.040000000001</v>
      </c>
      <c r="F22" s="11">
        <f>-VLOOKUP(B22,'LUMP SUM'!$B$7:'LUMP SUM'!$C$101,2,FALSE)</f>
        <v>-100000</v>
      </c>
      <c r="H22" s="11">
        <f t="shared" si="7"/>
        <v>991155.18236927455</v>
      </c>
      <c r="I22" s="11">
        <f t="shared" si="8"/>
        <v>2791.9864292092243</v>
      </c>
      <c r="J22" s="11">
        <f t="shared" si="9"/>
        <v>2750.106632771086</v>
      </c>
      <c r="L22" s="21">
        <f>VLOOKUP(B22,AWPU!$B$7:'AWPU'!$M$102,12,FALSE)</f>
        <v>351</v>
      </c>
      <c r="M22" s="11">
        <f>VLOOKUP(B22,'2015-16 FORMULA'!$B$2:'2015-16 FORMULA'!$M$97,12,FALSE)</f>
        <v>1105904.5268823537</v>
      </c>
      <c r="N22" s="11">
        <f>-VLOOKUP(B22,RATES!$D$8:'RATES'!$E$116,2,FALSE)</f>
        <v>-19769.71</v>
      </c>
      <c r="O22" s="11">
        <f>-VLOOKUP(B22,'LUMP SUM'!$B$7:'LUMP SUM'!$C$101,2,FALSE)</f>
        <v>-100000</v>
      </c>
      <c r="Q22" s="11">
        <f t="shared" si="10"/>
        <v>986134.81688235374</v>
      </c>
      <c r="R22" s="11">
        <f t="shared" si="11"/>
        <v>2809.5009027987285</v>
      </c>
      <c r="S22" s="817"/>
      <c r="T22" s="11">
        <f t="shared" si="12"/>
        <v>0</v>
      </c>
      <c r="U22" s="11" t="e">
        <v>#VALUE!</v>
      </c>
      <c r="V22" s="11">
        <f t="shared" si="0"/>
        <v>965287.42810265115</v>
      </c>
      <c r="W22" s="11">
        <f t="shared" si="1"/>
        <v>0</v>
      </c>
      <c r="X22" s="11">
        <f t="shared" si="2"/>
        <v>-20847.388779702596</v>
      </c>
      <c r="Y22" s="11">
        <f t="shared" si="3"/>
        <v>-20743.151835804081</v>
      </c>
      <c r="Z22" s="11">
        <f t="shared" si="4"/>
        <v>-20638.91489190557</v>
      </c>
      <c r="AA22" s="11">
        <f t="shared" si="5"/>
        <v>-20534.677948007055</v>
      </c>
      <c r="AB22" s="11">
        <f t="shared" si="6"/>
        <v>-20430.441004108543</v>
      </c>
      <c r="AC22" s="11">
        <v>0</v>
      </c>
      <c r="AG22" s="30" t="s">
        <v>1138</v>
      </c>
      <c r="AH22" s="30">
        <v>355</v>
      </c>
      <c r="AI22" s="21">
        <f t="shared" si="13"/>
        <v>4</v>
      </c>
      <c r="AN22" s="30"/>
      <c r="AO22" s="30"/>
      <c r="AP22" s="21"/>
    </row>
    <row r="23" spans="1:42" s="11" customFormat="1" x14ac:dyDescent="0.2">
      <c r="A23" s="9" t="s">
        <v>29</v>
      </c>
      <c r="B23" s="26">
        <v>5203</v>
      </c>
      <c r="C23" s="1028">
        <v>480</v>
      </c>
      <c r="D23" s="11">
        <v>1459012.244550663</v>
      </c>
      <c r="E23" s="11">
        <v>-4901.91</v>
      </c>
      <c r="F23" s="11">
        <f>-VLOOKUP(B23,'LUMP SUM'!$B$7:'LUMP SUM'!$C$101,2,FALSE)</f>
        <v>-100000</v>
      </c>
      <c r="H23" s="11">
        <f t="shared" si="7"/>
        <v>1354110.3345506631</v>
      </c>
      <c r="I23" s="11">
        <f t="shared" si="8"/>
        <v>2821.0631969805481</v>
      </c>
      <c r="J23" s="11">
        <f t="shared" si="9"/>
        <v>2778.7472490258397</v>
      </c>
      <c r="L23" s="21">
        <f>VLOOKUP(B23,AWPU!$B$7:'AWPU'!$M$102,12,FALSE)</f>
        <v>485</v>
      </c>
      <c r="M23" s="11">
        <f>VLOOKUP(B23,'2015-16 FORMULA'!$B$2:'2015-16 FORMULA'!$M$97,12,FALSE)</f>
        <v>1485622.7295909501</v>
      </c>
      <c r="N23" s="11">
        <f>-VLOOKUP(B23,RATES!$D$8:'RATES'!$E$116,2,FALSE)</f>
        <v>-4706.051999999996</v>
      </c>
      <c r="O23" s="11">
        <f>-VLOOKUP(B23,'LUMP SUM'!$B$7:'LUMP SUM'!$C$101,2,FALSE)</f>
        <v>-100000</v>
      </c>
      <c r="Q23" s="11">
        <f t="shared" si="10"/>
        <v>1380916.6775909502</v>
      </c>
      <c r="R23" s="11">
        <f t="shared" si="11"/>
        <v>2847.250881630825</v>
      </c>
      <c r="S23" s="817"/>
      <c r="T23" s="11">
        <f t="shared" si="12"/>
        <v>0</v>
      </c>
      <c r="U23" s="11" t="e">
        <v>#VALUE!</v>
      </c>
      <c r="V23" s="11">
        <f t="shared" si="0"/>
        <v>1347692.4157775322</v>
      </c>
      <c r="W23" s="11">
        <f t="shared" si="1"/>
        <v>0</v>
      </c>
      <c r="X23" s="11">
        <f t="shared" si="2"/>
        <v>-33224.261813418008</v>
      </c>
      <c r="Y23" s="11">
        <f t="shared" si="3"/>
        <v>-33058.140504350915</v>
      </c>
      <c r="Z23" s="11">
        <f t="shared" si="4"/>
        <v>-32892.019195283829</v>
      </c>
      <c r="AA23" s="11">
        <f t="shared" si="5"/>
        <v>-32725.897886216739</v>
      </c>
      <c r="AB23" s="11">
        <f t="shared" si="6"/>
        <v>-32559.776577149649</v>
      </c>
      <c r="AC23" s="11">
        <v>0</v>
      </c>
      <c r="AG23" s="30" t="s">
        <v>1139</v>
      </c>
      <c r="AH23" s="30">
        <v>480</v>
      </c>
      <c r="AI23" s="21">
        <f t="shared" si="13"/>
        <v>-5</v>
      </c>
      <c r="AN23" s="30"/>
      <c r="AO23" s="30"/>
      <c r="AP23" s="21"/>
    </row>
    <row r="24" spans="1:42" s="11" customFormat="1" x14ac:dyDescent="0.2">
      <c r="A24" s="9" t="s">
        <v>30</v>
      </c>
      <c r="B24" s="26">
        <v>2451</v>
      </c>
      <c r="C24" s="1028">
        <v>473</v>
      </c>
      <c r="D24" s="11">
        <v>1505387.8688338152</v>
      </c>
      <c r="E24" s="11">
        <v>-23378.09</v>
      </c>
      <c r="F24" s="11">
        <f>-VLOOKUP(B24,'LUMP SUM'!$B$7:'LUMP SUM'!$C$101,2,FALSE)</f>
        <v>-100000</v>
      </c>
      <c r="H24" s="11">
        <f t="shared" si="7"/>
        <v>1382009.7788338151</v>
      </c>
      <c r="I24" s="11">
        <f t="shared" si="8"/>
        <v>2921.7965725873469</v>
      </c>
      <c r="J24" s="11">
        <f t="shared" si="9"/>
        <v>2877.9696239985365</v>
      </c>
      <c r="L24" s="21">
        <f>VLOOKUP(B24,AWPU!$B$7:'AWPU'!$M$102,12,FALSE)</f>
        <v>472</v>
      </c>
      <c r="M24" s="11">
        <f>VLOOKUP(B24,'2015-16 FORMULA'!$B$2:'2015-16 FORMULA'!$M$97,12,FALSE)</f>
        <v>1484569.6138552281</v>
      </c>
      <c r="N24" s="11">
        <f>-VLOOKUP(B24,RATES!$D$8:'RATES'!$E$116,2,FALSE)</f>
        <v>-16102.75</v>
      </c>
      <c r="O24" s="11">
        <f>-VLOOKUP(B24,'LUMP SUM'!$B$7:'LUMP SUM'!$C$101,2,FALSE)</f>
        <v>-100000</v>
      </c>
      <c r="Q24" s="11">
        <f t="shared" si="10"/>
        <v>1368466.8638552281</v>
      </c>
      <c r="R24" s="11">
        <f t="shared" si="11"/>
        <v>2899.2942030831105</v>
      </c>
      <c r="S24" s="817"/>
      <c r="T24" s="11">
        <f t="shared" si="12"/>
        <v>0</v>
      </c>
      <c r="U24" s="11" t="e">
        <v>#VALUE!</v>
      </c>
      <c r="V24" s="11">
        <f t="shared" si="0"/>
        <v>1358401.6625273093</v>
      </c>
      <c r="W24" s="11">
        <f t="shared" si="1"/>
        <v>0</v>
      </c>
      <c r="X24" s="11">
        <f t="shared" si="2"/>
        <v>-10065.201327918796</v>
      </c>
      <c r="Y24" s="11">
        <f t="shared" si="3"/>
        <v>-10014.875321279202</v>
      </c>
      <c r="Z24" s="11">
        <f t="shared" si="4"/>
        <v>-9964.5493146396075</v>
      </c>
      <c r="AA24" s="11">
        <f t="shared" si="5"/>
        <v>-9914.2233080000133</v>
      </c>
      <c r="AB24" s="11">
        <f t="shared" si="6"/>
        <v>-9863.8973013604191</v>
      </c>
      <c r="AC24" s="11">
        <v>0</v>
      </c>
      <c r="AG24" s="30" t="s">
        <v>1141</v>
      </c>
      <c r="AH24" s="30">
        <v>473</v>
      </c>
      <c r="AI24" s="21">
        <f t="shared" si="13"/>
        <v>1</v>
      </c>
      <c r="AN24" s="30"/>
      <c r="AO24" s="30"/>
      <c r="AP24" s="21"/>
    </row>
    <row r="25" spans="1:42" s="11" customFormat="1" x14ac:dyDescent="0.2">
      <c r="A25" s="9" t="s">
        <v>31</v>
      </c>
      <c r="B25" s="26">
        <v>2409</v>
      </c>
      <c r="C25" s="1028">
        <v>551</v>
      </c>
      <c r="D25" s="11">
        <v>2188762.4368971521</v>
      </c>
      <c r="E25" s="11">
        <v>-32220.58</v>
      </c>
      <c r="F25" s="11">
        <f>-VLOOKUP(B25,'LUMP SUM'!$B$7:'LUMP SUM'!$C$101,2,FALSE)</f>
        <v>-100000</v>
      </c>
      <c r="H25" s="11">
        <f t="shared" si="7"/>
        <v>2056541.856897152</v>
      </c>
      <c r="I25" s="11">
        <f t="shared" si="8"/>
        <v>3732.3808655120724</v>
      </c>
      <c r="J25" s="11">
        <f t="shared" si="9"/>
        <v>3676.3951525293915</v>
      </c>
      <c r="L25" s="21">
        <f>VLOOKUP(B25,AWPU!$B$7:'AWPU'!$M$102,12,FALSE)</f>
        <v>552</v>
      </c>
      <c r="M25" s="11">
        <f>VLOOKUP(B25,'2015-16 FORMULA'!$B$2:'2015-16 FORMULA'!$M$97,12,FALSE)</f>
        <v>2001229.8302546649</v>
      </c>
      <c r="N25" s="11">
        <f>-VLOOKUP(B25,RATES!$D$8:'RATES'!$E$116,2,FALSE)</f>
        <v>-13006.14</v>
      </c>
      <c r="O25" s="11">
        <f>-VLOOKUP(B25,'LUMP SUM'!$B$7:'LUMP SUM'!$C$101,2,FALSE)</f>
        <v>-100000</v>
      </c>
      <c r="Q25" s="11">
        <f t="shared" si="10"/>
        <v>1888223.690254665</v>
      </c>
      <c r="R25" s="11">
        <f t="shared" si="11"/>
        <v>3420.6950910410596</v>
      </c>
      <c r="S25" s="817"/>
      <c r="T25" s="11">
        <f t="shared" si="12"/>
        <v>141146.43394155917</v>
      </c>
      <c r="U25" s="11" t="e">
        <v>#VALUE!</v>
      </c>
      <c r="V25" s="11">
        <f t="shared" si="0"/>
        <v>2029370.1241962241</v>
      </c>
      <c r="W25" s="11">
        <f t="shared" si="1"/>
        <v>141146.43394155917</v>
      </c>
      <c r="X25" s="11">
        <f t="shared" si="2"/>
        <v>0</v>
      </c>
      <c r="Y25" s="11">
        <f t="shared" si="3"/>
        <v>0</v>
      </c>
      <c r="Z25" s="11">
        <f t="shared" si="4"/>
        <v>0</v>
      </c>
      <c r="AA25" s="11">
        <f t="shared" si="5"/>
        <v>0</v>
      </c>
      <c r="AB25" s="11">
        <f t="shared" si="6"/>
        <v>0</v>
      </c>
      <c r="AC25" s="11">
        <v>0</v>
      </c>
      <c r="AG25" s="30" t="s">
        <v>1142</v>
      </c>
      <c r="AH25" s="30">
        <v>551</v>
      </c>
      <c r="AI25" s="21">
        <f t="shared" si="13"/>
        <v>-1</v>
      </c>
      <c r="AN25" s="30"/>
      <c r="AO25" s="30"/>
      <c r="AP25" s="21"/>
    </row>
    <row r="26" spans="1:42" s="11" customFormat="1" x14ac:dyDescent="0.2">
      <c r="A26" s="9" t="s">
        <v>98</v>
      </c>
      <c r="B26" s="26">
        <v>3158</v>
      </c>
      <c r="C26" s="1028">
        <v>117</v>
      </c>
      <c r="D26" s="11">
        <v>543540.37680957362</v>
      </c>
      <c r="E26" s="11">
        <v>-1579.03</v>
      </c>
      <c r="F26" s="11">
        <f>-VLOOKUP(B26,'LUMP SUM'!$B$7:'LUMP SUM'!$C$101,2,FALSE)</f>
        <v>-100000</v>
      </c>
      <c r="H26" s="11">
        <f t="shared" si="7"/>
        <v>441961.34680957359</v>
      </c>
      <c r="I26" s="11">
        <f t="shared" si="8"/>
        <v>3777.4474086288342</v>
      </c>
      <c r="J26" s="11">
        <f t="shared" si="9"/>
        <v>3720.7856974994015</v>
      </c>
      <c r="L26" s="21">
        <f>VLOOKUP(B26,AWPU!$B$7:'AWPU'!$M$102,12,FALSE)</f>
        <v>120</v>
      </c>
      <c r="M26" s="11">
        <f>VLOOKUP(B26,'2015-16 FORMULA'!$B$2:'2015-16 FORMULA'!$M$97,12,FALSE)</f>
        <v>569345.0596576602</v>
      </c>
      <c r="N26" s="11">
        <f>-VLOOKUP(B26,RATES!$D$8:'RATES'!$E$116,2,FALSE)</f>
        <v>660.3439999999996</v>
      </c>
      <c r="O26" s="11">
        <f>-VLOOKUP(B26,'LUMP SUM'!$B$7:'LUMP SUM'!$C$101,2,FALSE)</f>
        <v>-100000</v>
      </c>
      <c r="Q26" s="11">
        <f t="shared" si="10"/>
        <v>470005.40365766024</v>
      </c>
      <c r="R26" s="11">
        <f t="shared" si="11"/>
        <v>3916.7116971471687</v>
      </c>
      <c r="S26" s="817"/>
      <c r="T26" s="11">
        <f t="shared" si="12"/>
        <v>0</v>
      </c>
      <c r="U26" s="11" t="e">
        <v>#VALUE!</v>
      </c>
      <c r="V26" s="11">
        <f t="shared" si="0"/>
        <v>446494.2836999282</v>
      </c>
      <c r="W26" s="11">
        <f t="shared" si="1"/>
        <v>0</v>
      </c>
      <c r="X26" s="11">
        <f t="shared" si="2"/>
        <v>-23511.119957732037</v>
      </c>
      <c r="Y26" s="11">
        <f t="shared" si="3"/>
        <v>-23393.564357943378</v>
      </c>
      <c r="Z26" s="11">
        <f t="shared" si="4"/>
        <v>-23276.008758154716</v>
      </c>
      <c r="AA26" s="11">
        <f t="shared" si="5"/>
        <v>-23158.453158366057</v>
      </c>
      <c r="AB26" s="11">
        <f t="shared" si="6"/>
        <v>-23040.897558577399</v>
      </c>
      <c r="AC26" s="11">
        <v>0</v>
      </c>
      <c r="AG26" s="30" t="s">
        <v>1143</v>
      </c>
      <c r="AH26" s="30">
        <v>117</v>
      </c>
      <c r="AI26" s="21">
        <f t="shared" si="13"/>
        <v>-3</v>
      </c>
      <c r="AN26" s="30"/>
      <c r="AO26" s="30"/>
      <c r="AP26" s="21"/>
    </row>
    <row r="27" spans="1:42" s="11" customFormat="1" x14ac:dyDescent="0.2">
      <c r="A27" s="9" t="s">
        <v>32</v>
      </c>
      <c r="B27" s="26">
        <v>2619</v>
      </c>
      <c r="C27" s="1028">
        <v>199</v>
      </c>
      <c r="D27" s="11">
        <v>917824.35442887445</v>
      </c>
      <c r="E27" s="11">
        <v>-27617.64</v>
      </c>
      <c r="F27" s="11">
        <f>-VLOOKUP(B27,'LUMP SUM'!$B$7:'LUMP SUM'!$C$101,2,FALSE)</f>
        <v>-100000</v>
      </c>
      <c r="H27" s="11">
        <f t="shared" si="7"/>
        <v>790206.71442887443</v>
      </c>
      <c r="I27" s="11">
        <f t="shared" si="8"/>
        <v>3970.8880122053993</v>
      </c>
      <c r="J27" s="11">
        <f t="shared" si="9"/>
        <v>3911.3246920223182</v>
      </c>
      <c r="L27" s="21">
        <f>VLOOKUP(B27,AWPU!$B$7:'AWPU'!$M$102,12,FALSE)</f>
        <v>204</v>
      </c>
      <c r="M27" s="11">
        <f>VLOOKUP(B27,'2015-16 FORMULA'!$B$2:'2015-16 FORMULA'!$M$97,12,FALSE)</f>
        <v>906883.82676396391</v>
      </c>
      <c r="N27" s="11">
        <f>-VLOOKUP(B27,RATES!$D$8:'RATES'!$E$116,2,FALSE)</f>
        <v>4900.5400000000009</v>
      </c>
      <c r="O27" s="11">
        <f>-VLOOKUP(B27,'LUMP SUM'!$B$7:'LUMP SUM'!$C$101,2,FALSE)</f>
        <v>-100000</v>
      </c>
      <c r="Q27" s="11">
        <f t="shared" si="10"/>
        <v>811784.36676396395</v>
      </c>
      <c r="R27" s="11">
        <f t="shared" si="11"/>
        <v>3979.3351311959018</v>
      </c>
      <c r="S27" s="817"/>
      <c r="T27" s="11">
        <f t="shared" si="12"/>
        <v>0</v>
      </c>
      <c r="U27" s="11" t="e">
        <v>#VALUE!</v>
      </c>
      <c r="V27" s="11">
        <f t="shared" si="0"/>
        <v>797910.23717255297</v>
      </c>
      <c r="W27" s="11">
        <f t="shared" si="1"/>
        <v>0</v>
      </c>
      <c r="X27" s="11">
        <f t="shared" si="2"/>
        <v>-13874.12959141098</v>
      </c>
      <c r="Y27" s="11">
        <f t="shared" si="3"/>
        <v>-13804.758943453924</v>
      </c>
      <c r="Z27" s="11">
        <f t="shared" si="4"/>
        <v>-13735.38829549687</v>
      </c>
      <c r="AA27" s="11">
        <f t="shared" si="5"/>
        <v>-13666.017647539815</v>
      </c>
      <c r="AB27" s="11">
        <f t="shared" si="6"/>
        <v>-13596.646999582761</v>
      </c>
      <c r="AC27" s="11">
        <v>0</v>
      </c>
      <c r="AG27" s="30" t="s">
        <v>1144</v>
      </c>
      <c r="AH27" s="30">
        <v>199</v>
      </c>
      <c r="AI27" s="21">
        <f t="shared" si="13"/>
        <v>-5</v>
      </c>
      <c r="AN27" s="30"/>
      <c r="AO27" s="30"/>
      <c r="AP27" s="21"/>
    </row>
    <row r="28" spans="1:42" s="11" customFormat="1" x14ac:dyDescent="0.2">
      <c r="A28" s="9" t="s">
        <v>33</v>
      </c>
      <c r="B28" s="26">
        <v>2518</v>
      </c>
      <c r="C28" s="1028">
        <v>297</v>
      </c>
      <c r="D28" s="11">
        <v>1249026.7397156754</v>
      </c>
      <c r="E28" s="11">
        <v>-9645.16</v>
      </c>
      <c r="F28" s="11">
        <f>-VLOOKUP(B28,'LUMP SUM'!$B$7:'LUMP SUM'!$C$101,2,FALSE)</f>
        <v>-100000</v>
      </c>
      <c r="H28" s="11">
        <f t="shared" si="7"/>
        <v>1139381.5797156754</v>
      </c>
      <c r="I28" s="11">
        <f t="shared" si="8"/>
        <v>3836.3016152042942</v>
      </c>
      <c r="J28" s="11">
        <f t="shared" si="9"/>
        <v>3778.7570909762298</v>
      </c>
      <c r="L28" s="21">
        <f>VLOOKUP(B28,AWPU!$B$7:'AWPU'!$M$102,12,FALSE)</f>
        <v>340</v>
      </c>
      <c r="M28" s="11">
        <f>VLOOKUP(B28,'2015-16 FORMULA'!$B$2:'2015-16 FORMULA'!$M$97,12,FALSE)</f>
        <v>1508314.0545060947</v>
      </c>
      <c r="N28" s="11">
        <f>-VLOOKUP(B28,RATES!$D$8:'RATES'!$E$116,2,FALSE)</f>
        <v>5774.2099999999991</v>
      </c>
      <c r="O28" s="11">
        <f>-VLOOKUP(B28,'LUMP SUM'!$B$7:'LUMP SUM'!$C$101,2,FALSE)</f>
        <v>-100000</v>
      </c>
      <c r="Q28" s="11">
        <f t="shared" si="10"/>
        <v>1414088.2645060946</v>
      </c>
      <c r="R28" s="11">
        <f t="shared" si="11"/>
        <v>4159.0831309002779</v>
      </c>
      <c r="S28" s="817"/>
      <c r="T28" s="11">
        <f t="shared" si="12"/>
        <v>0</v>
      </c>
      <c r="U28" s="11" t="e">
        <v>#VALUE!</v>
      </c>
      <c r="V28" s="11">
        <f t="shared" si="0"/>
        <v>1284777.4109319181</v>
      </c>
      <c r="W28" s="11">
        <f t="shared" si="1"/>
        <v>0</v>
      </c>
      <c r="X28" s="11">
        <f t="shared" si="2"/>
        <v>-129310.85357417655</v>
      </c>
      <c r="Y28" s="11">
        <f t="shared" si="3"/>
        <v>-128664.29930630566</v>
      </c>
      <c r="Z28" s="11">
        <f t="shared" si="4"/>
        <v>-128017.74503843479</v>
      </c>
      <c r="AA28" s="11">
        <f t="shared" si="5"/>
        <v>-127371.1907705639</v>
      </c>
      <c r="AB28" s="11">
        <f t="shared" si="6"/>
        <v>-126724.63650269303</v>
      </c>
      <c r="AC28" s="11">
        <v>0</v>
      </c>
      <c r="AG28" s="30" t="s">
        <v>1145</v>
      </c>
      <c r="AH28" s="30">
        <v>297</v>
      </c>
      <c r="AI28" s="21">
        <f t="shared" si="13"/>
        <v>-43</v>
      </c>
      <c r="AN28" s="30"/>
      <c r="AO28" s="30"/>
      <c r="AP28" s="21"/>
    </row>
    <row r="29" spans="1:42" s="11" customFormat="1" x14ac:dyDescent="0.2">
      <c r="A29" s="9" t="s">
        <v>34</v>
      </c>
      <c r="B29" s="26">
        <v>2457</v>
      </c>
      <c r="C29" s="1028">
        <v>358</v>
      </c>
      <c r="D29" s="11">
        <v>1169603.3096882023</v>
      </c>
      <c r="E29" s="11">
        <v>-20107.079999999998</v>
      </c>
      <c r="F29" s="11">
        <f>-VLOOKUP(B29,'LUMP SUM'!$B$7:'LUMP SUM'!$C$101,2,FALSE)</f>
        <v>-100000</v>
      </c>
      <c r="H29" s="11">
        <f t="shared" si="7"/>
        <v>1049496.2296882023</v>
      </c>
      <c r="I29" s="11">
        <f t="shared" si="8"/>
        <v>2931.5537142128555</v>
      </c>
      <c r="J29" s="11">
        <f t="shared" si="9"/>
        <v>2887.5804084996626</v>
      </c>
      <c r="L29" s="21">
        <f>VLOOKUP(B29,AWPU!$B$7:'AWPU'!$M$102,12,FALSE)</f>
        <v>362</v>
      </c>
      <c r="M29" s="11">
        <f>VLOOKUP(B29,'2015-16 FORMULA'!$B$2:'2015-16 FORMULA'!$M$97,12,FALSE)</f>
        <v>1191595.9269630609</v>
      </c>
      <c r="N29" s="11">
        <f>-VLOOKUP(B29,RATES!$D$8:'RATES'!$E$116,2,FALSE)</f>
        <v>6855.8300000000017</v>
      </c>
      <c r="O29" s="11">
        <f>-VLOOKUP(B29,'LUMP SUM'!$B$7:'LUMP SUM'!$C$101,2,FALSE)</f>
        <v>-100000</v>
      </c>
      <c r="Q29" s="11">
        <f t="shared" si="10"/>
        <v>1098451.7569630609</v>
      </c>
      <c r="R29" s="11">
        <f t="shared" si="11"/>
        <v>3034.3971186824888</v>
      </c>
      <c r="S29" s="817"/>
      <c r="T29" s="11">
        <f t="shared" si="12"/>
        <v>0</v>
      </c>
      <c r="U29" s="11" t="e">
        <v>#VALUE!</v>
      </c>
      <c r="V29" s="11">
        <f t="shared" si="0"/>
        <v>1045304.1078768779</v>
      </c>
      <c r="W29" s="11">
        <f t="shared" si="1"/>
        <v>0</v>
      </c>
      <c r="X29" s="11">
        <f t="shared" si="2"/>
        <v>-53147.649086183053</v>
      </c>
      <c r="Y29" s="11">
        <f t="shared" si="3"/>
        <v>-52881.910840752134</v>
      </c>
      <c r="Z29" s="11">
        <f t="shared" si="4"/>
        <v>-52616.172595321215</v>
      </c>
      <c r="AA29" s="11">
        <f t="shared" si="5"/>
        <v>-52350.434349890304</v>
      </c>
      <c r="AB29" s="11">
        <f t="shared" si="6"/>
        <v>-52084.696104459385</v>
      </c>
      <c r="AC29" s="11">
        <v>0</v>
      </c>
      <c r="AG29" s="30" t="s">
        <v>1146</v>
      </c>
      <c r="AH29" s="30">
        <v>358</v>
      </c>
      <c r="AI29" s="21">
        <f t="shared" si="13"/>
        <v>-4</v>
      </c>
      <c r="AN29" s="30"/>
      <c r="AO29" s="30"/>
      <c r="AP29" s="21"/>
    </row>
    <row r="30" spans="1:42" s="11" customFormat="1" x14ac:dyDescent="0.2">
      <c r="A30" s="9" t="s">
        <v>99</v>
      </c>
      <c r="B30" s="26">
        <v>2010</v>
      </c>
      <c r="C30" s="1028">
        <v>193</v>
      </c>
      <c r="D30" s="11">
        <v>884618.11357638112</v>
      </c>
      <c r="E30" s="11">
        <v>-3488.35</v>
      </c>
      <c r="F30" s="11">
        <f>-VLOOKUP(B30,'LUMP SUM'!$B$7:'LUMP SUM'!$C$101,2,FALSE)</f>
        <v>-100000</v>
      </c>
      <c r="H30" s="11">
        <f t="shared" si="7"/>
        <v>781129.76357638114</v>
      </c>
      <c r="I30" s="11">
        <f t="shared" si="8"/>
        <v>4047.3044744890212</v>
      </c>
      <c r="J30" s="11">
        <f t="shared" si="9"/>
        <v>3986.5949073716861</v>
      </c>
      <c r="L30" s="21">
        <f>VLOOKUP(B30,AWPU!$B$7:'AWPU'!$M$102,12,FALSE)</f>
        <v>204</v>
      </c>
      <c r="M30" s="11">
        <f>VLOOKUP(B30,'2015-16 FORMULA'!$B$2:'2015-16 FORMULA'!$M$97,12,FALSE)</f>
        <v>842907.147202658</v>
      </c>
      <c r="N30" s="11">
        <f>-VLOOKUP(B30,RATES!$D$8:'RATES'!$E$116,2,FALSE)</f>
        <v>-2933.3499999999985</v>
      </c>
      <c r="O30" s="11">
        <f>-VLOOKUP(B30,'LUMP SUM'!$B$7:'LUMP SUM'!$C$101,2,FALSE)</f>
        <v>-100000</v>
      </c>
      <c r="Q30" s="11">
        <f t="shared" si="10"/>
        <v>739973.79720265802</v>
      </c>
      <c r="R30" s="1074">
        <f t="shared" si="11"/>
        <v>3627.3225353071471</v>
      </c>
      <c r="S30" s="817"/>
      <c r="T30" s="11">
        <f t="shared" si="12"/>
        <v>73291.563901165966</v>
      </c>
      <c r="U30" s="11" t="e">
        <v>#VALUE!</v>
      </c>
      <c r="V30" s="11">
        <f t="shared" si="0"/>
        <v>813265.36110382399</v>
      </c>
      <c r="W30" s="11">
        <f t="shared" si="1"/>
        <v>73291.563901165966</v>
      </c>
      <c r="X30" s="11">
        <f t="shared" si="2"/>
        <v>0</v>
      </c>
      <c r="Y30" s="11">
        <f t="shared" si="3"/>
        <v>0</v>
      </c>
      <c r="Z30" s="11">
        <f t="shared" si="4"/>
        <v>0</v>
      </c>
      <c r="AA30" s="11">
        <f t="shared" si="5"/>
        <v>0</v>
      </c>
      <c r="AB30" s="11">
        <f t="shared" si="6"/>
        <v>0</v>
      </c>
      <c r="AC30" s="11">
        <v>0</v>
      </c>
      <c r="AG30" s="30" t="s">
        <v>1147</v>
      </c>
      <c r="AH30" s="30">
        <v>193</v>
      </c>
      <c r="AI30" s="21">
        <f t="shared" si="13"/>
        <v>-11</v>
      </c>
      <c r="AN30" s="30"/>
      <c r="AO30" s="30"/>
      <c r="AP30" s="21"/>
    </row>
    <row r="31" spans="1:42" s="11" customFormat="1" x14ac:dyDescent="0.2">
      <c r="A31" s="9" t="s">
        <v>35</v>
      </c>
      <c r="B31" s="26">
        <v>2002</v>
      </c>
      <c r="C31" s="1028">
        <v>426</v>
      </c>
      <c r="D31" s="11">
        <v>1293566.0328604088</v>
      </c>
      <c r="E31" s="11">
        <v>-44818.1</v>
      </c>
      <c r="F31" s="11">
        <f>-VLOOKUP(B31,'LUMP SUM'!$B$7:'LUMP SUM'!$C$101,2,FALSE)</f>
        <v>-100000</v>
      </c>
      <c r="H31" s="11">
        <f t="shared" si="7"/>
        <v>1148747.9328604087</v>
      </c>
      <c r="I31" s="11">
        <f t="shared" si="8"/>
        <v>2696.5913916911004</v>
      </c>
      <c r="J31" s="11">
        <f t="shared" si="9"/>
        <v>2656.1425208157339</v>
      </c>
      <c r="L31" s="21">
        <f>VLOOKUP(B31,AWPU!$B$7:'AWPU'!$M$102,12,FALSE)</f>
        <v>430</v>
      </c>
      <c r="M31" s="11">
        <f>VLOOKUP(B31,'2015-16 FORMULA'!$B$2:'2015-16 FORMULA'!$M$97,12,FALSE)</f>
        <v>1306612.914981606</v>
      </c>
      <c r="N31" s="11">
        <f>-VLOOKUP(B31,RATES!$D$8:'RATES'!$E$116,2,FALSE)</f>
        <v>-32356.980000000003</v>
      </c>
      <c r="O31" s="11">
        <f>-VLOOKUP(B31,'LUMP SUM'!$B$7:'LUMP SUM'!$C$101,2,FALSE)</f>
        <v>-100000</v>
      </c>
      <c r="Q31" s="11">
        <f t="shared" si="10"/>
        <v>1174255.934981606</v>
      </c>
      <c r="R31" s="11">
        <f t="shared" si="11"/>
        <v>2730.8277557711767</v>
      </c>
      <c r="S31" s="817"/>
      <c r="T31" s="11">
        <f t="shared" si="12"/>
        <v>0</v>
      </c>
      <c r="U31" s="11" t="e">
        <v>#VALUE!</v>
      </c>
      <c r="V31" s="11">
        <f t="shared" si="0"/>
        <v>1142141.2839507656</v>
      </c>
      <c r="W31" s="11">
        <f t="shared" si="1"/>
        <v>0</v>
      </c>
      <c r="X31" s="11">
        <f t="shared" si="2"/>
        <v>-32114.651030840352</v>
      </c>
      <c r="Y31" s="11">
        <f t="shared" si="3"/>
        <v>-31954.077775686153</v>
      </c>
      <c r="Z31" s="11">
        <f t="shared" si="4"/>
        <v>-31793.504520531951</v>
      </c>
      <c r="AA31" s="11">
        <f t="shared" si="5"/>
        <v>-31632.931265377749</v>
      </c>
      <c r="AB31" s="11">
        <f t="shared" si="6"/>
        <v>-31472.358010223546</v>
      </c>
      <c r="AC31" s="11">
        <v>0</v>
      </c>
      <c r="AG31" s="30" t="s">
        <v>1149</v>
      </c>
      <c r="AH31" s="30">
        <v>426</v>
      </c>
      <c r="AI31" s="21">
        <f t="shared" si="13"/>
        <v>-4</v>
      </c>
      <c r="AN31" s="30"/>
      <c r="AO31" s="30"/>
      <c r="AP31" s="21"/>
    </row>
    <row r="32" spans="1:42" s="11" customFormat="1" x14ac:dyDescent="0.2">
      <c r="A32" s="9" t="s">
        <v>36</v>
      </c>
      <c r="B32" s="26">
        <v>3544</v>
      </c>
      <c r="C32" s="1028">
        <v>537</v>
      </c>
      <c r="D32" s="11">
        <v>2427057.6072772709</v>
      </c>
      <c r="E32" s="11">
        <v>-71708.960000000006</v>
      </c>
      <c r="F32" s="11">
        <f>-VLOOKUP(B32,'LUMP SUM'!$B$7:'LUMP SUM'!$C$101,2,FALSE)</f>
        <v>-100000</v>
      </c>
      <c r="H32" s="11">
        <f t="shared" si="7"/>
        <v>2255348.6472772709</v>
      </c>
      <c r="I32" s="11">
        <f t="shared" si="8"/>
        <v>4199.9043710936139</v>
      </c>
      <c r="J32" s="11">
        <f t="shared" si="9"/>
        <v>4136.9058055272098</v>
      </c>
      <c r="L32" s="21">
        <f>VLOOKUP(B32,AWPU!$B$7:'AWPU'!$M$102,12,FALSE)</f>
        <v>537</v>
      </c>
      <c r="M32" s="11">
        <f>VLOOKUP(B32,'2015-16 FORMULA'!$B$2:'2015-16 FORMULA'!$M$97,12,FALSE)</f>
        <v>2269402.5600906746</v>
      </c>
      <c r="N32" s="11">
        <f>-VLOOKUP(B32,RATES!$D$8:'RATES'!$E$116,2,FALSE)</f>
        <v>11719.740000000005</v>
      </c>
      <c r="O32" s="11">
        <f>-VLOOKUP(B32,'LUMP SUM'!$B$7:'LUMP SUM'!$C$101,2,FALSE)</f>
        <v>-100000</v>
      </c>
      <c r="Q32" s="11">
        <f t="shared" si="10"/>
        <v>2181122.3000906748</v>
      </c>
      <c r="R32" s="11">
        <f t="shared" si="11"/>
        <v>4061.6802608764892</v>
      </c>
      <c r="S32" s="817"/>
      <c r="T32" s="11">
        <f t="shared" si="12"/>
        <v>40396.117477437016</v>
      </c>
      <c r="U32" s="11" t="e">
        <v>#VALUE!</v>
      </c>
      <c r="V32" s="11">
        <f t="shared" si="0"/>
        <v>2221518.4175681118</v>
      </c>
      <c r="W32" s="11">
        <f t="shared" si="1"/>
        <v>40396.117477437016</v>
      </c>
      <c r="X32" s="11">
        <f t="shared" si="2"/>
        <v>0</v>
      </c>
      <c r="Y32" s="11">
        <f t="shared" si="3"/>
        <v>0</v>
      </c>
      <c r="Z32" s="11">
        <f t="shared" si="4"/>
        <v>0</v>
      </c>
      <c r="AA32" s="11">
        <f t="shared" si="5"/>
        <v>0</v>
      </c>
      <c r="AB32" s="11">
        <f t="shared" si="6"/>
        <v>0</v>
      </c>
      <c r="AC32" s="11">
        <v>0</v>
      </c>
      <c r="AG32" s="30" t="s">
        <v>1150</v>
      </c>
      <c r="AH32" s="30">
        <v>537</v>
      </c>
      <c r="AI32" s="21">
        <f t="shared" si="13"/>
        <v>0</v>
      </c>
      <c r="AN32" s="30"/>
      <c r="AO32" s="30"/>
      <c r="AP32" s="21"/>
    </row>
    <row r="33" spans="1:42" s="11" customFormat="1" x14ac:dyDescent="0.2">
      <c r="A33" s="9" t="s">
        <v>100</v>
      </c>
      <c r="B33" s="26">
        <v>2006</v>
      </c>
      <c r="C33" s="1028">
        <v>246</v>
      </c>
      <c r="D33" s="11">
        <v>812193.30766173033</v>
      </c>
      <c r="E33" s="11">
        <v>-28344.42</v>
      </c>
      <c r="F33" s="11">
        <f>-VLOOKUP(B33,'LUMP SUM'!$B$7:'LUMP SUM'!$C$101,2,FALSE)</f>
        <v>-100000</v>
      </c>
      <c r="H33" s="11">
        <f t="shared" si="7"/>
        <v>683848.88766173029</v>
      </c>
      <c r="I33" s="11">
        <f t="shared" si="8"/>
        <v>2779.8735270802044</v>
      </c>
      <c r="J33" s="11">
        <f t="shared" si="9"/>
        <v>2738.1754241740014</v>
      </c>
      <c r="L33" s="21">
        <f>VLOOKUP(B33,AWPU!$B$7:'AWPU'!$M$102,12,FALSE)</f>
        <v>263</v>
      </c>
      <c r="M33" s="11">
        <f>VLOOKUP(B33,'2015-16 FORMULA'!$B$2:'2015-16 FORMULA'!$M$97,12,FALSE)</f>
        <v>808254.58222848806</v>
      </c>
      <c r="N33" s="11">
        <f>-VLOOKUP(B33,RATES!$D$8:'RATES'!$E$116,2,FALSE)</f>
        <v>-14577.75</v>
      </c>
      <c r="O33" s="11">
        <f>-VLOOKUP(B33,'LUMP SUM'!$B$7:'LUMP SUM'!$C$101,2,FALSE)</f>
        <v>-100000</v>
      </c>
      <c r="Q33" s="11">
        <f t="shared" si="10"/>
        <v>693676.83222848806</v>
      </c>
      <c r="R33" s="11">
        <f t="shared" si="11"/>
        <v>2637.5544951653537</v>
      </c>
      <c r="S33" s="817"/>
      <c r="T33" s="11">
        <f t="shared" si="12"/>
        <v>26463.304329274339</v>
      </c>
      <c r="U33" s="11" t="e">
        <v>#VALUE!</v>
      </c>
      <c r="V33" s="11">
        <f t="shared" si="0"/>
        <v>720140.13655776239</v>
      </c>
      <c r="W33" s="11">
        <f t="shared" si="1"/>
        <v>26463.304329274339</v>
      </c>
      <c r="X33" s="11">
        <f t="shared" si="2"/>
        <v>0</v>
      </c>
      <c r="Y33" s="11">
        <f t="shared" si="3"/>
        <v>0</v>
      </c>
      <c r="Z33" s="11">
        <f t="shared" si="4"/>
        <v>0</v>
      </c>
      <c r="AA33" s="11">
        <f t="shared" si="5"/>
        <v>0</v>
      </c>
      <c r="AB33" s="11">
        <f t="shared" si="6"/>
        <v>0</v>
      </c>
      <c r="AC33" s="11">
        <v>0</v>
      </c>
      <c r="AG33" s="30" t="s">
        <v>1151</v>
      </c>
      <c r="AH33" s="30">
        <v>246</v>
      </c>
      <c r="AI33" s="21">
        <f t="shared" si="13"/>
        <v>-17</v>
      </c>
      <c r="AN33" s="30"/>
      <c r="AO33" s="30"/>
      <c r="AP33" s="21"/>
    </row>
    <row r="34" spans="1:42" s="11" customFormat="1" x14ac:dyDescent="0.2">
      <c r="A34" s="9" t="s">
        <v>37</v>
      </c>
      <c r="B34" s="26">
        <v>2434</v>
      </c>
      <c r="C34" s="1028">
        <v>431</v>
      </c>
      <c r="D34" s="11">
        <v>1873613.4870965676</v>
      </c>
      <c r="E34" s="11">
        <v>-49448.24</v>
      </c>
      <c r="F34" s="11">
        <f>-VLOOKUP(B34,'LUMP SUM'!$B$7:'LUMP SUM'!$C$101,2,FALSE)</f>
        <v>-100000</v>
      </c>
      <c r="H34" s="11">
        <f t="shared" si="7"/>
        <v>1724165.2470965676</v>
      </c>
      <c r="I34" s="11">
        <f t="shared" si="8"/>
        <v>4000.3834039363519</v>
      </c>
      <c r="J34" s="11">
        <f t="shared" si="9"/>
        <v>3940.3776528773064</v>
      </c>
      <c r="L34" s="21">
        <f>VLOOKUP(B34,AWPU!$B$7:'AWPU'!$M$102,12,FALSE)</f>
        <v>461</v>
      </c>
      <c r="M34" s="11">
        <f>VLOOKUP(B34,'2015-16 FORMULA'!$B$2:'2015-16 FORMULA'!$M$97,12,FALSE)</f>
        <v>1866461.4634704893</v>
      </c>
      <c r="N34" s="11">
        <f>-VLOOKUP(B34,RATES!$D$8:'RATES'!$E$116,2,FALSE)</f>
        <v>6126.8600000000006</v>
      </c>
      <c r="O34" s="11">
        <f>-VLOOKUP(B34,'LUMP SUM'!$B$7:'LUMP SUM'!$C$101,2,FALSE)</f>
        <v>-100000</v>
      </c>
      <c r="Q34" s="11">
        <f t="shared" si="10"/>
        <v>1772588.3234704894</v>
      </c>
      <c r="R34" s="11">
        <f t="shared" si="11"/>
        <v>3845.093977159413</v>
      </c>
      <c r="S34" s="817"/>
      <c r="T34" s="11">
        <f t="shared" si="12"/>
        <v>43925.774505948881</v>
      </c>
      <c r="U34" s="11" t="e">
        <v>#VALUE!</v>
      </c>
      <c r="V34" s="11">
        <f t="shared" si="0"/>
        <v>1816514.0979764382</v>
      </c>
      <c r="W34" s="11">
        <f t="shared" si="1"/>
        <v>43925.774505948881</v>
      </c>
      <c r="X34" s="11">
        <f t="shared" si="2"/>
        <v>0</v>
      </c>
      <c r="Y34" s="11">
        <f t="shared" si="3"/>
        <v>0</v>
      </c>
      <c r="Z34" s="11">
        <f t="shared" si="4"/>
        <v>0</v>
      </c>
      <c r="AA34" s="11">
        <f t="shared" si="5"/>
        <v>0</v>
      </c>
      <c r="AB34" s="11">
        <f t="shared" si="6"/>
        <v>0</v>
      </c>
      <c r="AC34" s="11">
        <v>0</v>
      </c>
      <c r="AG34" s="30" t="s">
        <v>1152</v>
      </c>
      <c r="AH34" s="30">
        <v>431</v>
      </c>
      <c r="AI34" s="21">
        <f t="shared" si="13"/>
        <v>-30</v>
      </c>
      <c r="AN34" s="30"/>
      <c r="AO34" s="30"/>
      <c r="AP34" s="21"/>
    </row>
    <row r="35" spans="1:42" s="11" customFormat="1" x14ac:dyDescent="0.2">
      <c r="A35" s="9" t="s">
        <v>38</v>
      </c>
      <c r="B35" s="26">
        <v>2522</v>
      </c>
      <c r="C35" s="1028">
        <v>412</v>
      </c>
      <c r="D35" s="11">
        <v>1196486.2190439608</v>
      </c>
      <c r="E35" s="11">
        <v>-17442.72</v>
      </c>
      <c r="F35" s="11">
        <f>-VLOOKUP(B35,'LUMP SUM'!$B$7:'LUMP SUM'!$C$101,2,FALSE)</f>
        <v>-100000</v>
      </c>
      <c r="H35" s="11">
        <f t="shared" si="7"/>
        <v>1079043.4990439608</v>
      </c>
      <c r="I35" s="11">
        <f t="shared" si="8"/>
        <v>2619.0376190387396</v>
      </c>
      <c r="J35" s="11">
        <f t="shared" si="9"/>
        <v>2579.7520547531585</v>
      </c>
      <c r="L35" s="21">
        <f>VLOOKUP(B35,AWPU!$B$7:'AWPU'!$M$102,12,FALSE)</f>
        <v>388</v>
      </c>
      <c r="M35" s="11">
        <f>VLOOKUP(B35,'2015-16 FORMULA'!$B$2:'2015-16 FORMULA'!$M$97,12,FALSE)</f>
        <v>1160654.7519757382</v>
      </c>
      <c r="N35" s="11">
        <f>-VLOOKUP(B35,RATES!$D$8:'RATES'!$E$116,2,FALSE)</f>
        <v>4196.25</v>
      </c>
      <c r="O35" s="11">
        <f>-VLOOKUP(B35,'LUMP SUM'!$B$7:'LUMP SUM'!$C$101,2,FALSE)</f>
        <v>-100000</v>
      </c>
      <c r="Q35" s="11">
        <f t="shared" si="10"/>
        <v>1064851.0019757382</v>
      </c>
      <c r="R35" s="11">
        <f t="shared" si="11"/>
        <v>2744.4613452982944</v>
      </c>
      <c r="S35" s="817"/>
      <c r="T35" s="11">
        <f t="shared" si="12"/>
        <v>0</v>
      </c>
      <c r="U35" s="11" t="e">
        <v>#VALUE!</v>
      </c>
      <c r="V35" s="11">
        <f t="shared" si="0"/>
        <v>1000943.7972442255</v>
      </c>
      <c r="W35" s="11">
        <f t="shared" si="1"/>
        <v>0</v>
      </c>
      <c r="X35" s="11">
        <f t="shared" si="2"/>
        <v>-63907.204731512698</v>
      </c>
      <c r="Y35" s="11">
        <f t="shared" si="3"/>
        <v>-63587.668707855133</v>
      </c>
      <c r="Z35" s="11">
        <f t="shared" si="4"/>
        <v>-63268.132684197568</v>
      </c>
      <c r="AA35" s="11">
        <f t="shared" si="5"/>
        <v>-62948.596660540003</v>
      </c>
      <c r="AB35" s="11">
        <f t="shared" si="6"/>
        <v>-62629.060636882445</v>
      </c>
      <c r="AC35" s="11">
        <v>0</v>
      </c>
      <c r="AG35" s="30" t="s">
        <v>1153</v>
      </c>
      <c r="AH35" s="30">
        <v>412</v>
      </c>
      <c r="AI35" s="21">
        <f t="shared" si="13"/>
        <v>24</v>
      </c>
      <c r="AN35" s="30"/>
      <c r="AO35" s="30"/>
      <c r="AP35" s="21"/>
    </row>
    <row r="36" spans="1:42" s="11" customFormat="1" x14ac:dyDescent="0.2">
      <c r="A36" s="9" t="s">
        <v>39</v>
      </c>
      <c r="B36" s="26">
        <v>2436</v>
      </c>
      <c r="C36" s="1028">
        <v>321</v>
      </c>
      <c r="D36" s="11">
        <v>1067008.0660019359</v>
      </c>
      <c r="E36" s="11">
        <v>-13808.82</v>
      </c>
      <c r="F36" s="11">
        <f>-VLOOKUP(B36,'LUMP SUM'!$B$7:'LUMP SUM'!$C$101,2,FALSE)</f>
        <v>-100000</v>
      </c>
      <c r="H36" s="11">
        <f t="shared" si="7"/>
        <v>953199.2460019358</v>
      </c>
      <c r="I36" s="11">
        <f t="shared" si="8"/>
        <v>2969.4680560807969</v>
      </c>
      <c r="J36" s="11">
        <f t="shared" si="9"/>
        <v>2924.926035239585</v>
      </c>
      <c r="L36" s="21">
        <f>VLOOKUP(B36,AWPU!$B$7:'AWPU'!$M$102,12,FALSE)</f>
        <v>336</v>
      </c>
      <c r="M36" s="11">
        <f>VLOOKUP(B36,'2015-16 FORMULA'!$B$2:'2015-16 FORMULA'!$M$97,12,FALSE)</f>
        <v>1074672.5572950742</v>
      </c>
      <c r="N36" s="11">
        <f>-VLOOKUP(B36,RATES!$D$8:'RATES'!$E$116,2,FALSE)</f>
        <v>-7637.3099999999995</v>
      </c>
      <c r="O36" s="11">
        <f>-VLOOKUP(B36,'LUMP SUM'!$B$7:'LUMP SUM'!$C$101,2,FALSE)</f>
        <v>-100000</v>
      </c>
      <c r="Q36" s="11">
        <f t="shared" si="10"/>
        <v>967035.24729507416</v>
      </c>
      <c r="R36" s="11">
        <f t="shared" si="11"/>
        <v>2878.0810931401015</v>
      </c>
      <c r="S36" s="817"/>
      <c r="T36" s="11">
        <f t="shared" si="12"/>
        <v>15739.900545426412</v>
      </c>
      <c r="U36" s="11" t="e">
        <v>#VALUE!</v>
      </c>
      <c r="V36" s="11">
        <f t="shared" si="0"/>
        <v>982775.14784050058</v>
      </c>
      <c r="W36" s="11">
        <f t="shared" si="1"/>
        <v>15739.900545426412</v>
      </c>
      <c r="X36" s="11">
        <f t="shared" si="2"/>
        <v>0</v>
      </c>
      <c r="Y36" s="11">
        <f t="shared" si="3"/>
        <v>0</v>
      </c>
      <c r="Z36" s="11">
        <f t="shared" si="4"/>
        <v>0</v>
      </c>
      <c r="AA36" s="11">
        <f t="shared" si="5"/>
        <v>0</v>
      </c>
      <c r="AB36" s="11">
        <f t="shared" si="6"/>
        <v>0</v>
      </c>
      <c r="AC36" s="11">
        <v>0</v>
      </c>
      <c r="AG36" s="30" t="s">
        <v>1154</v>
      </c>
      <c r="AH36" s="30">
        <v>321</v>
      </c>
      <c r="AI36" s="21">
        <f t="shared" si="13"/>
        <v>-15</v>
      </c>
      <c r="AN36" s="30"/>
      <c r="AO36" s="30"/>
      <c r="AP36" s="21"/>
    </row>
    <row r="37" spans="1:42" s="11" customFormat="1" x14ac:dyDescent="0.2">
      <c r="A37" s="9" t="s">
        <v>40</v>
      </c>
      <c r="B37" s="26">
        <v>2452</v>
      </c>
      <c r="C37" s="1028">
        <v>207</v>
      </c>
      <c r="D37" s="11">
        <v>776094.66238852602</v>
      </c>
      <c r="E37" s="11">
        <v>-15020.12</v>
      </c>
      <c r="F37" s="11">
        <f>-VLOOKUP(B37,'LUMP SUM'!$B$7:'LUMP SUM'!$C$101,2,FALSE)</f>
        <v>-100000</v>
      </c>
      <c r="H37" s="11">
        <f t="shared" si="7"/>
        <v>661074.54238852602</v>
      </c>
      <c r="I37" s="11">
        <f t="shared" si="8"/>
        <v>3193.5968231329762</v>
      </c>
      <c r="J37" s="11">
        <f t="shared" si="9"/>
        <v>3145.6928707859815</v>
      </c>
      <c r="L37" s="21">
        <f>VLOOKUP(B37,AWPU!$B$7:'AWPU'!$M$102,12,FALSE)</f>
        <v>202</v>
      </c>
      <c r="M37" s="11">
        <f>VLOOKUP(B37,'2015-16 FORMULA'!$B$2:'2015-16 FORMULA'!$M$97,12,FALSE)</f>
        <v>741456.8020864916</v>
      </c>
      <c r="N37" s="11">
        <f>-VLOOKUP(B37,RATES!$D$8:'RATES'!$E$116,2,FALSE)</f>
        <v>3597.1400000000012</v>
      </c>
      <c r="O37" s="11">
        <f>-VLOOKUP(B37,'LUMP SUM'!$B$7:'LUMP SUM'!$C$101,2,FALSE)</f>
        <v>-100000</v>
      </c>
      <c r="Q37" s="11">
        <f t="shared" si="10"/>
        <v>645053.94208649162</v>
      </c>
      <c r="R37" s="11">
        <f t="shared" si="11"/>
        <v>3193.3363469628298</v>
      </c>
      <c r="S37" s="817"/>
      <c r="T37" s="11">
        <f t="shared" si="12"/>
        <v>0</v>
      </c>
      <c r="U37" s="11" t="e">
        <v>#VALUE!</v>
      </c>
      <c r="V37" s="11">
        <f t="shared" si="0"/>
        <v>635429.95989876823</v>
      </c>
      <c r="W37" s="11">
        <f t="shared" si="1"/>
        <v>0</v>
      </c>
      <c r="X37" s="11">
        <f t="shared" si="2"/>
        <v>-9623.9821877233917</v>
      </c>
      <c r="Y37" s="11">
        <f t="shared" si="3"/>
        <v>-9575.8622767847755</v>
      </c>
      <c r="Z37" s="11">
        <f t="shared" si="4"/>
        <v>-9527.7423658461576</v>
      </c>
      <c r="AA37" s="11">
        <f t="shared" si="5"/>
        <v>-9479.6224549075414</v>
      </c>
      <c r="AB37" s="11">
        <f t="shared" si="6"/>
        <v>-9431.5025439689252</v>
      </c>
      <c r="AC37" s="11">
        <v>0</v>
      </c>
      <c r="AG37" s="30" t="s">
        <v>1155</v>
      </c>
      <c r="AH37" s="30">
        <v>207</v>
      </c>
      <c r="AI37" s="21">
        <f t="shared" si="13"/>
        <v>5</v>
      </c>
      <c r="AN37" s="30"/>
      <c r="AO37" s="30"/>
      <c r="AP37" s="21"/>
    </row>
    <row r="38" spans="1:42" s="11" customFormat="1" x14ac:dyDescent="0.2">
      <c r="A38" s="9" t="s">
        <v>41</v>
      </c>
      <c r="B38" s="26">
        <v>2627</v>
      </c>
      <c r="C38" s="1028">
        <v>388</v>
      </c>
      <c r="D38" s="11">
        <v>1165184.0700105678</v>
      </c>
      <c r="E38" s="11">
        <v>-20349.84</v>
      </c>
      <c r="F38" s="11">
        <f>-VLOOKUP(B38,'LUMP SUM'!$B$7:'LUMP SUM'!$C$101,2,FALSE)</f>
        <v>-100000</v>
      </c>
      <c r="H38" s="11">
        <f t="shared" si="7"/>
        <v>1044834.2300105677</v>
      </c>
      <c r="I38" s="11">
        <f t="shared" si="8"/>
        <v>2692.8717268313599</v>
      </c>
      <c r="J38" s="11">
        <f t="shared" si="9"/>
        <v>2652.4786509288892</v>
      </c>
      <c r="L38" s="21">
        <f>VLOOKUP(B38,AWPU!$B$7:'AWPU'!$M$102,12,FALSE)</f>
        <v>392</v>
      </c>
      <c r="M38" s="11">
        <f>VLOOKUP(B38,'2015-16 FORMULA'!$B$2:'2015-16 FORMULA'!$M$97,12,FALSE)</f>
        <v>1181094.3178910282</v>
      </c>
      <c r="N38" s="11">
        <f>-VLOOKUP(B38,RATES!$D$8:'RATES'!$E$116,2,FALSE)</f>
        <v>-4566.6500000000015</v>
      </c>
      <c r="O38" s="11">
        <f>-VLOOKUP(B38,'LUMP SUM'!$B$7:'LUMP SUM'!$C$101,2,FALSE)</f>
        <v>-100000</v>
      </c>
      <c r="Q38" s="11">
        <f t="shared" si="10"/>
        <v>1076527.6678910283</v>
      </c>
      <c r="R38" s="11">
        <f t="shared" si="11"/>
        <v>2746.2440507424194</v>
      </c>
      <c r="S38" s="817"/>
      <c r="T38" s="11">
        <f t="shared" si="12"/>
        <v>0</v>
      </c>
      <c r="U38" s="11" t="e">
        <v>#VALUE!</v>
      </c>
      <c r="V38" s="11">
        <f t="shared" si="0"/>
        <v>1039771.6311641246</v>
      </c>
      <c r="W38" s="11">
        <f t="shared" si="1"/>
        <v>0</v>
      </c>
      <c r="X38" s="11">
        <f t="shared" si="2"/>
        <v>-36756.036726903752</v>
      </c>
      <c r="Y38" s="11">
        <f t="shared" si="3"/>
        <v>-36572.256543269228</v>
      </c>
      <c r="Z38" s="11">
        <f t="shared" si="4"/>
        <v>-36388.476359634711</v>
      </c>
      <c r="AA38" s="11">
        <f t="shared" si="5"/>
        <v>-36204.696176000194</v>
      </c>
      <c r="AB38" s="11">
        <f t="shared" si="6"/>
        <v>-36020.915992365677</v>
      </c>
      <c r="AC38" s="11">
        <v>0</v>
      </c>
      <c r="AG38" s="30" t="s">
        <v>1156</v>
      </c>
      <c r="AH38" s="30">
        <v>388</v>
      </c>
      <c r="AI38" s="21">
        <f t="shared" si="13"/>
        <v>-4</v>
      </c>
      <c r="AN38" s="30"/>
      <c r="AO38" s="30"/>
      <c r="AP38" s="21"/>
    </row>
    <row r="39" spans="1:42" s="11" customFormat="1" x14ac:dyDescent="0.2">
      <c r="A39" s="9" t="s">
        <v>42</v>
      </c>
      <c r="B39" s="26">
        <v>2009</v>
      </c>
      <c r="C39" s="1028">
        <v>276</v>
      </c>
      <c r="D39" s="11">
        <v>1074666.5015374916</v>
      </c>
      <c r="E39" s="11">
        <v>-2549.44</v>
      </c>
      <c r="F39" s="11">
        <f>-VLOOKUP(B39,'LUMP SUM'!$B$7:'LUMP SUM'!$C$101,2,FALSE)</f>
        <v>-100000</v>
      </c>
      <c r="H39" s="11">
        <f t="shared" si="7"/>
        <v>972117.06153749162</v>
      </c>
      <c r="I39" s="11">
        <f t="shared" si="8"/>
        <v>3522.1632664401868</v>
      </c>
      <c r="J39" s="11">
        <f t="shared" si="9"/>
        <v>3469.3308174435838</v>
      </c>
      <c r="L39" s="21">
        <f>VLOOKUP(B39,AWPU!$B$7:'AWPU'!$M$102,12,FALSE)</f>
        <v>284</v>
      </c>
      <c r="M39" s="11">
        <f>VLOOKUP(B39,'2015-16 FORMULA'!$B$2:'2015-16 FORMULA'!$M$97,12,FALSE)</f>
        <v>1143997.993294267</v>
      </c>
      <c r="N39" s="11">
        <f>-VLOOKUP(B39,RATES!$D$8:'RATES'!$E$116,2,FALSE)</f>
        <v>-2415.6999999999989</v>
      </c>
      <c r="O39" s="11">
        <f>-VLOOKUP(B39,'LUMP SUM'!$B$7:'LUMP SUM'!$C$101,2,FALSE)</f>
        <v>-100000</v>
      </c>
      <c r="Q39" s="11">
        <f t="shared" si="10"/>
        <v>1041582.293294267</v>
      </c>
      <c r="R39" s="11">
        <f t="shared" si="11"/>
        <v>3667.543286247419</v>
      </c>
      <c r="S39" s="817"/>
      <c r="T39" s="11">
        <f t="shared" si="12"/>
        <v>0</v>
      </c>
      <c r="U39" s="11" t="e">
        <v>#VALUE!</v>
      </c>
      <c r="V39" s="11">
        <f t="shared" si="0"/>
        <v>985289.95215397782</v>
      </c>
      <c r="W39" s="11">
        <f t="shared" si="1"/>
        <v>0</v>
      </c>
      <c r="X39" s="11">
        <f t="shared" si="2"/>
        <v>-56292.341140289209</v>
      </c>
      <c r="Y39" s="11">
        <f t="shared" si="3"/>
        <v>-56010.879434587761</v>
      </c>
      <c r="Z39" s="11">
        <f t="shared" si="4"/>
        <v>-55729.417728886314</v>
      </c>
      <c r="AA39" s="11">
        <f t="shared" si="5"/>
        <v>-55447.956023184866</v>
      </c>
      <c r="AB39" s="11">
        <f t="shared" si="6"/>
        <v>-55166.494317483419</v>
      </c>
      <c r="AC39" s="11">
        <v>0</v>
      </c>
      <c r="AG39" s="30" t="s">
        <v>1157</v>
      </c>
      <c r="AH39" s="30">
        <v>276</v>
      </c>
      <c r="AI39" s="21">
        <f t="shared" si="13"/>
        <v>-8</v>
      </c>
      <c r="AN39" s="30"/>
      <c r="AO39" s="30"/>
      <c r="AP39" s="21"/>
    </row>
    <row r="40" spans="1:42" s="11" customFormat="1" x14ac:dyDescent="0.2">
      <c r="A40" s="9" t="s">
        <v>101</v>
      </c>
      <c r="B40" s="26">
        <v>2473</v>
      </c>
      <c r="C40" s="1028">
        <v>267</v>
      </c>
      <c r="D40" s="11">
        <v>992245.58766088984</v>
      </c>
      <c r="E40" s="11">
        <v>-15020.12</v>
      </c>
      <c r="F40" s="11">
        <f>-VLOOKUP(B40,'LUMP SUM'!$B$7:'LUMP SUM'!$C$101,2,FALSE)</f>
        <v>-100000</v>
      </c>
      <c r="H40" s="11">
        <f t="shared" si="7"/>
        <v>877225.46766088984</v>
      </c>
      <c r="I40" s="11">
        <f t="shared" si="8"/>
        <v>3285.4886429246812</v>
      </c>
      <c r="J40" s="11">
        <f t="shared" si="9"/>
        <v>3236.2063132808112</v>
      </c>
      <c r="L40" s="21">
        <f>VLOOKUP(B40,AWPU!$B$7:'AWPU'!$M$102,12,FALSE)</f>
        <v>269</v>
      </c>
      <c r="M40" s="11">
        <f>VLOOKUP(B40,'2015-16 FORMULA'!$B$2:'2015-16 FORMULA'!$M$97,12,FALSE)</f>
        <v>976577.46496276872</v>
      </c>
      <c r="N40" s="11">
        <f>-VLOOKUP(B40,RATES!$D$8:'RATES'!$E$116,2,FALSE)</f>
        <v>2183.8050000000003</v>
      </c>
      <c r="O40" s="11">
        <f>-VLOOKUP(B40,'LUMP SUM'!$B$7:'LUMP SUM'!$C$101,2,FALSE)</f>
        <v>-100000</v>
      </c>
      <c r="Q40" s="11">
        <f t="shared" si="10"/>
        <v>878761.26996276877</v>
      </c>
      <c r="R40" s="11">
        <f t="shared" si="11"/>
        <v>3266.7705203076907</v>
      </c>
      <c r="S40" s="817"/>
      <c r="T40" s="11">
        <f t="shared" si="12"/>
        <v>0</v>
      </c>
      <c r="U40" s="11" t="e">
        <v>#VALUE!</v>
      </c>
      <c r="V40" s="11">
        <f t="shared" si="0"/>
        <v>870539.49827253819</v>
      </c>
      <c r="W40" s="11">
        <f t="shared" si="1"/>
        <v>0</v>
      </c>
      <c r="X40" s="11">
        <f t="shared" si="2"/>
        <v>-8221.7716902305838</v>
      </c>
      <c r="Y40" s="11">
        <f t="shared" si="3"/>
        <v>-8180.6628317794311</v>
      </c>
      <c r="Z40" s="11">
        <f t="shared" si="4"/>
        <v>-8139.5539733282776</v>
      </c>
      <c r="AA40" s="11">
        <f t="shared" si="5"/>
        <v>-8098.445114877125</v>
      </c>
      <c r="AB40" s="11">
        <f t="shared" si="6"/>
        <v>-8057.3362564259724</v>
      </c>
      <c r="AC40" s="11">
        <v>0</v>
      </c>
      <c r="AG40" s="30" t="s">
        <v>1158</v>
      </c>
      <c r="AH40" s="30">
        <v>267</v>
      </c>
      <c r="AI40" s="21">
        <f t="shared" si="13"/>
        <v>-2</v>
      </c>
      <c r="AN40" s="30"/>
      <c r="AO40" s="30"/>
      <c r="AP40" s="21"/>
    </row>
    <row r="41" spans="1:42" s="11" customFormat="1" x14ac:dyDescent="0.2">
      <c r="A41" s="9" t="s">
        <v>44</v>
      </c>
      <c r="B41" s="26">
        <v>2471</v>
      </c>
      <c r="C41" s="1028">
        <v>346</v>
      </c>
      <c r="D41" s="11">
        <v>1239894.0095671299</v>
      </c>
      <c r="E41" s="11">
        <v>-15020.12</v>
      </c>
      <c r="F41" s="11">
        <f>-VLOOKUP(B41,'LUMP SUM'!$B$7:'LUMP SUM'!$C$101,2,FALSE)</f>
        <v>-100000</v>
      </c>
      <c r="H41" s="11">
        <f t="shared" si="7"/>
        <v>1124873.8895671298</v>
      </c>
      <c r="I41" s="11">
        <f t="shared" si="8"/>
        <v>3251.0806056853462</v>
      </c>
      <c r="J41" s="11">
        <f t="shared" si="9"/>
        <v>3202.3143966000662</v>
      </c>
      <c r="L41" s="21">
        <f>VLOOKUP(B41,AWPU!$B$7:'AWPU'!$M$102,12,FALSE)</f>
        <v>350</v>
      </c>
      <c r="M41" s="11">
        <f>VLOOKUP(B41,'2015-16 FORMULA'!$B$2:'2015-16 FORMULA'!$M$97,12,FALSE)</f>
        <v>1255950.3003435731</v>
      </c>
      <c r="N41" s="11">
        <f>-VLOOKUP(B41,RATES!$D$8:'RATES'!$E$116,2,FALSE)</f>
        <v>2183.8050000000003</v>
      </c>
      <c r="O41" s="11">
        <f>-VLOOKUP(B41,'LUMP SUM'!$B$7:'LUMP SUM'!$C$101,2,FALSE)</f>
        <v>-100000</v>
      </c>
      <c r="Q41" s="11">
        <f t="shared" si="10"/>
        <v>1158134.105343573</v>
      </c>
      <c r="R41" s="11">
        <f t="shared" si="11"/>
        <v>3308.9545866959229</v>
      </c>
      <c r="S41" s="817"/>
      <c r="T41" s="11">
        <f t="shared" si="12"/>
        <v>0</v>
      </c>
      <c r="U41" s="11" t="e">
        <v>#VALUE!</v>
      </c>
      <c r="V41" s="11">
        <f t="shared" si="0"/>
        <v>1120810.0388100231</v>
      </c>
      <c r="W41" s="11">
        <f t="shared" si="1"/>
        <v>0</v>
      </c>
      <c r="X41" s="11">
        <f t="shared" si="2"/>
        <v>-37324.066533549922</v>
      </c>
      <c r="Y41" s="11">
        <f t="shared" si="3"/>
        <v>-37137.446200882172</v>
      </c>
      <c r="Z41" s="11">
        <f t="shared" si="4"/>
        <v>-36950.825868214422</v>
      </c>
      <c r="AA41" s="11">
        <f t="shared" si="5"/>
        <v>-36764.205535546673</v>
      </c>
      <c r="AB41" s="11">
        <f t="shared" si="6"/>
        <v>-36577.585202878923</v>
      </c>
      <c r="AC41" s="11">
        <v>0</v>
      </c>
      <c r="AG41" s="30" t="s">
        <v>1159</v>
      </c>
      <c r="AH41" s="30">
        <v>346</v>
      </c>
      <c r="AI41" s="21">
        <f t="shared" si="13"/>
        <v>-4</v>
      </c>
      <c r="AN41" s="30"/>
      <c r="AO41" s="30"/>
      <c r="AP41" s="21"/>
    </row>
    <row r="42" spans="1:42" s="11" customFormat="1" x14ac:dyDescent="0.2">
      <c r="A42" s="9" t="s">
        <v>43</v>
      </c>
      <c r="B42" s="26">
        <v>2420</v>
      </c>
      <c r="C42" s="1028">
        <v>465</v>
      </c>
      <c r="D42" s="11">
        <v>2106649.6258593551</v>
      </c>
      <c r="E42" s="11">
        <v>-22287.919999999998</v>
      </c>
      <c r="F42" s="11">
        <f>-VLOOKUP(B42,'LUMP SUM'!$B$7:'LUMP SUM'!$C$101,2,FALSE)</f>
        <v>-100000</v>
      </c>
      <c r="H42" s="11">
        <f t="shared" si="7"/>
        <v>1984361.7058593552</v>
      </c>
      <c r="I42" s="11">
        <f t="shared" si="8"/>
        <v>4267.4445287297958</v>
      </c>
      <c r="J42" s="11">
        <f t="shared" si="9"/>
        <v>4203.4328607988491</v>
      </c>
      <c r="L42" s="21">
        <f>VLOOKUP(B42,AWPU!$B$7:'AWPU'!$M$102,12,FALSE)</f>
        <v>503</v>
      </c>
      <c r="M42" s="11">
        <f>VLOOKUP(B42,'2015-16 FORMULA'!$B$2:'2015-16 FORMULA'!$M$97,12,FALSE)</f>
        <v>2305206.3936312571</v>
      </c>
      <c r="N42" s="11">
        <f>-VLOOKUP(B42,RATES!$D$8:'RATES'!$E$116,2,FALSE)</f>
        <v>-8236.75</v>
      </c>
      <c r="O42" s="11">
        <f>-VLOOKUP(B42,'LUMP SUM'!$B$7:'LUMP SUM'!$C$101,2,FALSE)</f>
        <v>-100000</v>
      </c>
      <c r="Q42" s="11">
        <f t="shared" si="10"/>
        <v>2196969.6436312571</v>
      </c>
      <c r="R42" s="11">
        <f t="shared" si="11"/>
        <v>4367.732889922976</v>
      </c>
      <c r="S42" s="817"/>
      <c r="T42" s="11">
        <f t="shared" si="12"/>
        <v>0</v>
      </c>
      <c r="U42" s="11" t="e">
        <v>#VALUE!</v>
      </c>
      <c r="V42" s="11">
        <f t="shared" si="0"/>
        <v>2114326.7289818213</v>
      </c>
      <c r="W42" s="11">
        <f t="shared" si="1"/>
        <v>0</v>
      </c>
      <c r="X42" s="11">
        <f t="shared" si="2"/>
        <v>-82642.914649435785</v>
      </c>
      <c r="Y42" s="11">
        <f t="shared" si="3"/>
        <v>-82229.700076188601</v>
      </c>
      <c r="Z42" s="11">
        <f t="shared" si="4"/>
        <v>-81816.485502941432</v>
      </c>
      <c r="AA42" s="11">
        <f t="shared" si="5"/>
        <v>-81403.270929694248</v>
      </c>
      <c r="AB42" s="11">
        <f t="shared" si="6"/>
        <v>-80990.056356447065</v>
      </c>
      <c r="AC42" s="11">
        <v>0</v>
      </c>
      <c r="AG42" s="30" t="s">
        <v>1160</v>
      </c>
      <c r="AH42" s="30">
        <v>465</v>
      </c>
      <c r="AI42" s="21">
        <f t="shared" si="13"/>
        <v>-38</v>
      </c>
      <c r="AN42" s="30"/>
      <c r="AO42" s="30"/>
      <c r="AP42" s="21"/>
    </row>
    <row r="43" spans="1:42" s="11" customFormat="1" x14ac:dyDescent="0.2">
      <c r="A43" s="9" t="s">
        <v>45</v>
      </c>
      <c r="B43" s="26">
        <v>2003</v>
      </c>
      <c r="C43" s="1028">
        <v>208</v>
      </c>
      <c r="D43" s="11">
        <v>656155.05488886323</v>
      </c>
      <c r="E43" s="11">
        <v>-27859.899999999998</v>
      </c>
      <c r="F43" s="11">
        <f>-VLOOKUP(B43,'LUMP SUM'!$B$7:'LUMP SUM'!$C$101,2,FALSE)</f>
        <v>-100000</v>
      </c>
      <c r="H43" s="11">
        <f t="shared" si="7"/>
        <v>528295.15488886321</v>
      </c>
      <c r="I43" s="11">
        <f t="shared" si="8"/>
        <v>2539.8805523503038</v>
      </c>
      <c r="J43" s="11">
        <f t="shared" si="9"/>
        <v>2501.7823440650491</v>
      </c>
      <c r="L43" s="21">
        <f>VLOOKUP(B43,AWPU!$B$7:'AWPU'!$M$102,12,FALSE)</f>
        <v>213</v>
      </c>
      <c r="M43" s="11">
        <f>VLOOKUP(B43,'2015-16 FORMULA'!$B$2:'2015-16 FORMULA'!$M$97,12,FALSE)</f>
        <v>670944.75057914993</v>
      </c>
      <c r="N43" s="11">
        <f>-VLOOKUP(B43,RATES!$D$8:'RATES'!$E$116,2,FALSE)</f>
        <v>-9766.52</v>
      </c>
      <c r="O43" s="11">
        <f>-VLOOKUP(B43,'LUMP SUM'!$B$7:'LUMP SUM'!$C$101,2,FALSE)</f>
        <v>-100000</v>
      </c>
      <c r="Q43" s="11">
        <f t="shared" si="10"/>
        <v>561178.23057914991</v>
      </c>
      <c r="R43" s="11">
        <f t="shared" si="11"/>
        <v>2634.6395801838025</v>
      </c>
      <c r="S43" s="817"/>
      <c r="T43" s="11">
        <f t="shared" si="12"/>
        <v>0</v>
      </c>
      <c r="U43" s="11" t="e">
        <v>#VALUE!</v>
      </c>
      <c r="V43" s="11">
        <f t="shared" si="0"/>
        <v>532879.63928585546</v>
      </c>
      <c r="W43" s="11">
        <f t="shared" si="1"/>
        <v>0</v>
      </c>
      <c r="X43" s="11">
        <f t="shared" si="2"/>
        <v>-28298.591293294448</v>
      </c>
      <c r="Y43" s="11">
        <f t="shared" si="3"/>
        <v>-28157.098336827974</v>
      </c>
      <c r="Z43" s="11">
        <f t="shared" si="4"/>
        <v>-28015.605380361503</v>
      </c>
      <c r="AA43" s="11">
        <f t="shared" si="5"/>
        <v>-27874.112423895029</v>
      </c>
      <c r="AB43" s="11">
        <f t="shared" si="6"/>
        <v>-27732.619467428558</v>
      </c>
      <c r="AC43" s="11">
        <v>0</v>
      </c>
      <c r="AG43" s="30" t="s">
        <v>1161</v>
      </c>
      <c r="AH43" s="30">
        <v>208</v>
      </c>
      <c r="AI43" s="21">
        <f t="shared" si="13"/>
        <v>-5</v>
      </c>
      <c r="AN43" s="30"/>
      <c r="AO43" s="30"/>
      <c r="AP43" s="21"/>
    </row>
    <row r="44" spans="1:42" s="11" customFormat="1" x14ac:dyDescent="0.2">
      <c r="A44" s="9" t="s">
        <v>46</v>
      </c>
      <c r="B44" s="26">
        <v>2423</v>
      </c>
      <c r="C44" s="1028">
        <v>358</v>
      </c>
      <c r="D44" s="11">
        <v>1669102.5800615519</v>
      </c>
      <c r="E44" s="11">
        <v>-12234.38</v>
      </c>
      <c r="F44" s="11">
        <f>-VLOOKUP(B44,'LUMP SUM'!$B$7:'LUMP SUM'!$C$101,2,FALSE)</f>
        <v>-100000</v>
      </c>
      <c r="H44" s="11">
        <f t="shared" si="7"/>
        <v>1556868.200061552</v>
      </c>
      <c r="I44" s="11">
        <f t="shared" si="8"/>
        <v>4348.7938549205364</v>
      </c>
      <c r="J44" s="11">
        <f t="shared" si="9"/>
        <v>4283.5619470967285</v>
      </c>
      <c r="L44" s="21">
        <f>VLOOKUP(B44,AWPU!$B$7:'AWPU'!$M$102,12,FALSE)</f>
        <v>333</v>
      </c>
      <c r="M44" s="11">
        <f>VLOOKUP(B44,'2015-16 FORMULA'!$B$2:'2015-16 FORMULA'!$M$97,12,FALSE)</f>
        <v>1431353.3921137305</v>
      </c>
      <c r="N44" s="11">
        <f>-VLOOKUP(B44,RATES!$D$8:'RATES'!$E$116,2,FALSE)</f>
        <v>-2873.6800000000012</v>
      </c>
      <c r="O44" s="11">
        <f>-VLOOKUP(B44,'LUMP SUM'!$B$7:'LUMP SUM'!$C$101,2,FALSE)</f>
        <v>-100000</v>
      </c>
      <c r="Q44" s="11">
        <f t="shared" si="10"/>
        <v>1328479.7121137306</v>
      </c>
      <c r="R44" s="11">
        <f t="shared" si="11"/>
        <v>3989.428564906098</v>
      </c>
      <c r="S44" s="817"/>
      <c r="T44" s="11">
        <f t="shared" si="12"/>
        <v>97946.416269480018</v>
      </c>
      <c r="U44" s="11" t="e">
        <v>#VALUE!</v>
      </c>
      <c r="V44" s="11">
        <f t="shared" si="0"/>
        <v>1426426.1283832106</v>
      </c>
      <c r="W44" s="11">
        <f t="shared" si="1"/>
        <v>97946.416269480018</v>
      </c>
      <c r="X44" s="11">
        <f t="shared" si="2"/>
        <v>0</v>
      </c>
      <c r="Y44" s="11">
        <f t="shared" si="3"/>
        <v>0</v>
      </c>
      <c r="Z44" s="11">
        <f t="shared" si="4"/>
        <v>0</v>
      </c>
      <c r="AA44" s="11">
        <f t="shared" si="5"/>
        <v>0</v>
      </c>
      <c r="AB44" s="11">
        <f t="shared" si="6"/>
        <v>0</v>
      </c>
      <c r="AC44" s="11">
        <v>0</v>
      </c>
      <c r="AG44" s="30" t="s">
        <v>1163</v>
      </c>
      <c r="AH44" s="30">
        <v>358</v>
      </c>
      <c r="AI44" s="21">
        <f t="shared" si="13"/>
        <v>25</v>
      </c>
      <c r="AN44" s="30"/>
      <c r="AO44" s="30"/>
      <c r="AP44" s="21"/>
    </row>
    <row r="45" spans="1:42" s="11" customFormat="1" x14ac:dyDescent="0.2">
      <c r="A45" s="9" t="s">
        <v>47</v>
      </c>
      <c r="B45" s="26">
        <v>2424</v>
      </c>
      <c r="C45" s="1028">
        <v>267</v>
      </c>
      <c r="D45" s="11">
        <v>1318277.3634490683</v>
      </c>
      <c r="E45" s="11">
        <v>-12234.38</v>
      </c>
      <c r="F45" s="11">
        <f>-VLOOKUP(B45,'LUMP SUM'!$B$7:'LUMP SUM'!$C$101,2,FALSE)</f>
        <v>-100000</v>
      </c>
      <c r="H45" s="11">
        <f t="shared" si="7"/>
        <v>1206042.9834490684</v>
      </c>
      <c r="I45" s="11">
        <f t="shared" si="8"/>
        <v>4517.0149192849003</v>
      </c>
      <c r="J45" s="11">
        <f t="shared" si="9"/>
        <v>4449.2596954956271</v>
      </c>
      <c r="L45" s="21">
        <f>VLOOKUP(B45,AWPU!$B$7:'AWPU'!$M$102,12,FALSE)</f>
        <v>270</v>
      </c>
      <c r="M45" s="11">
        <f>VLOOKUP(B45,'2015-16 FORMULA'!$B$2:'2015-16 FORMULA'!$M$97,12,FALSE)</f>
        <v>1211947.5754271441</v>
      </c>
      <c r="N45" s="11">
        <f>-VLOOKUP(B45,RATES!$D$8:'RATES'!$E$116,2,FALSE)</f>
        <v>-2873.6800000000012</v>
      </c>
      <c r="O45" s="11">
        <f>-VLOOKUP(B45,'LUMP SUM'!$B$7:'LUMP SUM'!$C$101,2,FALSE)</f>
        <v>-100000</v>
      </c>
      <c r="Q45" s="11">
        <f t="shared" si="10"/>
        <v>1109073.8954271441</v>
      </c>
      <c r="R45" s="11">
        <f t="shared" si="11"/>
        <v>4107.681094174608</v>
      </c>
      <c r="S45" s="817"/>
      <c r="T45" s="11">
        <f t="shared" si="12"/>
        <v>92226.222356675193</v>
      </c>
      <c r="U45" s="11" t="e">
        <v>#VALUE!</v>
      </c>
      <c r="V45" s="11">
        <f t="shared" si="0"/>
        <v>1201300.1177838193</v>
      </c>
      <c r="W45" s="11">
        <f t="shared" si="1"/>
        <v>92226.222356675193</v>
      </c>
      <c r="X45" s="11">
        <f t="shared" si="2"/>
        <v>0</v>
      </c>
      <c r="Y45" s="11">
        <f t="shared" si="3"/>
        <v>0</v>
      </c>
      <c r="Z45" s="11">
        <f t="shared" si="4"/>
        <v>0</v>
      </c>
      <c r="AA45" s="11">
        <f t="shared" si="5"/>
        <v>0</v>
      </c>
      <c r="AB45" s="11">
        <f t="shared" si="6"/>
        <v>0</v>
      </c>
      <c r="AC45" s="11">
        <v>0</v>
      </c>
      <c r="AG45" s="30" t="s">
        <v>1164</v>
      </c>
      <c r="AH45" s="30">
        <v>267</v>
      </c>
      <c r="AI45" s="21">
        <f t="shared" si="13"/>
        <v>-3</v>
      </c>
      <c r="AN45" s="30"/>
      <c r="AO45" s="30"/>
      <c r="AP45" s="21"/>
    </row>
    <row r="46" spans="1:42" s="11" customFormat="1" x14ac:dyDescent="0.2">
      <c r="A46" s="9" t="s">
        <v>48</v>
      </c>
      <c r="B46" s="26">
        <v>2439</v>
      </c>
      <c r="C46" s="1028">
        <v>239</v>
      </c>
      <c r="D46" s="11">
        <v>723003.19556091749</v>
      </c>
      <c r="E46" s="11">
        <v>-8346.24</v>
      </c>
      <c r="F46" s="11">
        <f>-VLOOKUP(B46,'LUMP SUM'!$B$7:'LUMP SUM'!$C$101,2,FALSE)</f>
        <v>-100000</v>
      </c>
      <c r="H46" s="11">
        <f t="shared" si="7"/>
        <v>614656.9555609175</v>
      </c>
      <c r="I46" s="11">
        <f t="shared" si="8"/>
        <v>2571.7864249410773</v>
      </c>
      <c r="J46" s="11">
        <f t="shared" si="9"/>
        <v>2533.2096285669609</v>
      </c>
      <c r="L46" s="21">
        <f>VLOOKUP(B46,AWPU!$B$7:'AWPU'!$M$102,12,FALSE)</f>
        <v>256</v>
      </c>
      <c r="M46" s="11">
        <f>VLOOKUP(B46,'2015-16 FORMULA'!$B$2:'2015-16 FORMULA'!$M$97,12,FALSE)</f>
        <v>799025.8948675486</v>
      </c>
      <c r="N46" s="11">
        <f>-VLOOKUP(B46,RATES!$D$8:'RATES'!$E$116,2,FALSE)</f>
        <v>-5955.5</v>
      </c>
      <c r="O46" s="11">
        <f>-VLOOKUP(B46,'LUMP SUM'!$B$7:'LUMP SUM'!$C$101,2,FALSE)</f>
        <v>-100000</v>
      </c>
      <c r="Q46" s="11">
        <f t="shared" si="10"/>
        <v>693070.3948675486</v>
      </c>
      <c r="R46" s="11">
        <f t="shared" si="11"/>
        <v>2707.3062299513617</v>
      </c>
      <c r="S46" s="817"/>
      <c r="T46" s="11">
        <f t="shared" si="12"/>
        <v>0</v>
      </c>
      <c r="U46" s="11" t="e">
        <v>#VALUE!</v>
      </c>
      <c r="V46" s="11">
        <f t="shared" si="0"/>
        <v>648501.66491314198</v>
      </c>
      <c r="W46" s="11">
        <f t="shared" si="1"/>
        <v>0</v>
      </c>
      <c r="X46" s="11">
        <f t="shared" si="2"/>
        <v>-44568.729954406619</v>
      </c>
      <c r="Y46" s="11">
        <f t="shared" si="3"/>
        <v>-44345.886304634587</v>
      </c>
      <c r="Z46" s="11">
        <f t="shared" si="4"/>
        <v>-44123.042654862555</v>
      </c>
      <c r="AA46" s="11">
        <f t="shared" si="5"/>
        <v>-43900.199005090522</v>
      </c>
      <c r="AB46" s="11">
        <f t="shared" si="6"/>
        <v>-43677.35535531849</v>
      </c>
      <c r="AC46" s="11">
        <v>0</v>
      </c>
      <c r="AG46" s="30" t="s">
        <v>1165</v>
      </c>
      <c r="AH46" s="30">
        <v>239</v>
      </c>
      <c r="AI46" s="21">
        <f t="shared" si="13"/>
        <v>-17</v>
      </c>
      <c r="AN46" s="30"/>
      <c r="AO46" s="30"/>
      <c r="AP46" s="21"/>
    </row>
    <row r="47" spans="1:42" s="11" customFormat="1" x14ac:dyDescent="0.2">
      <c r="A47" s="9" t="s">
        <v>49</v>
      </c>
      <c r="B47" s="26">
        <v>2440</v>
      </c>
      <c r="C47" s="1028">
        <v>291</v>
      </c>
      <c r="D47" s="11">
        <v>897886.02446388931</v>
      </c>
      <c r="E47" s="11">
        <v>-33674.14</v>
      </c>
      <c r="F47" s="11">
        <f>-VLOOKUP(B47,'LUMP SUM'!$B$7:'LUMP SUM'!$C$101,2,FALSE)</f>
        <v>-100000</v>
      </c>
      <c r="H47" s="11">
        <f t="shared" si="7"/>
        <v>764211.88446388929</v>
      </c>
      <c r="I47" s="11">
        <f t="shared" si="8"/>
        <v>2626.1576785700663</v>
      </c>
      <c r="J47" s="11">
        <f t="shared" si="9"/>
        <v>2586.7653133915151</v>
      </c>
      <c r="L47" s="21">
        <f>VLOOKUP(B47,AWPU!$B$7:'AWPU'!$M$102,12,FALSE)</f>
        <v>326</v>
      </c>
      <c r="M47" s="11">
        <f>VLOOKUP(B47,'2015-16 FORMULA'!$B$2:'2015-16 FORMULA'!$M$97,12,FALSE)</f>
        <v>996866.96474455681</v>
      </c>
      <c r="N47" s="11">
        <f>-VLOOKUP(B47,RATES!$D$8:'RATES'!$E$116,2,FALSE)</f>
        <v>-17212.620000000003</v>
      </c>
      <c r="O47" s="11">
        <f>-VLOOKUP(B47,'LUMP SUM'!$B$7:'LUMP SUM'!$C$101,2,FALSE)</f>
        <v>-100000</v>
      </c>
      <c r="Q47" s="11">
        <f t="shared" si="10"/>
        <v>879654.34474455682</v>
      </c>
      <c r="R47" s="11">
        <f t="shared" si="11"/>
        <v>2698.3262108728736</v>
      </c>
      <c r="S47" s="817"/>
      <c r="T47" s="11">
        <f t="shared" si="12"/>
        <v>0</v>
      </c>
      <c r="U47" s="11" t="e">
        <v>#VALUE!</v>
      </c>
      <c r="V47" s="11">
        <f t="shared" si="0"/>
        <v>843285.49216563394</v>
      </c>
      <c r="W47" s="11">
        <f t="shared" si="1"/>
        <v>0</v>
      </c>
      <c r="X47" s="11">
        <f t="shared" si="2"/>
        <v>-36368.852578922873</v>
      </c>
      <c r="Y47" s="11">
        <f t="shared" si="3"/>
        <v>-36187.008316028259</v>
      </c>
      <c r="Z47" s="11">
        <f t="shared" si="4"/>
        <v>-36005.164053133645</v>
      </c>
      <c r="AA47" s="11">
        <f t="shared" si="5"/>
        <v>-35823.319790239031</v>
      </c>
      <c r="AB47" s="11">
        <f t="shared" si="6"/>
        <v>-35641.475527344417</v>
      </c>
      <c r="AC47" s="11">
        <v>0</v>
      </c>
      <c r="AG47" s="30" t="s">
        <v>1166</v>
      </c>
      <c r="AH47" s="30">
        <v>291</v>
      </c>
      <c r="AI47" s="21">
        <f t="shared" si="13"/>
        <v>-35</v>
      </c>
      <c r="AN47" s="30"/>
      <c r="AO47" s="30"/>
      <c r="AP47" s="21"/>
    </row>
    <row r="48" spans="1:42" s="11" customFormat="1" x14ac:dyDescent="0.2">
      <c r="A48" s="9" t="s">
        <v>102</v>
      </c>
      <c r="B48" s="26">
        <v>2462</v>
      </c>
      <c r="C48" s="1028">
        <v>220</v>
      </c>
      <c r="D48" s="11">
        <v>756996.11714072328</v>
      </c>
      <c r="E48" s="11">
        <v>-13566.560000000001</v>
      </c>
      <c r="F48" s="11">
        <f>-VLOOKUP(B48,'LUMP SUM'!$B$7:'LUMP SUM'!$C$101,2,FALSE)</f>
        <v>-100000</v>
      </c>
      <c r="H48" s="11">
        <f t="shared" si="7"/>
        <v>643429.55714072322</v>
      </c>
      <c r="I48" s="11">
        <f t="shared" si="8"/>
        <v>2924.6798051851056</v>
      </c>
      <c r="J48" s="11">
        <f t="shared" si="9"/>
        <v>2880.809608107329</v>
      </c>
      <c r="L48" s="21">
        <f>VLOOKUP(B48,AWPU!$B$7:'AWPU'!$M$102,12,FALSE)</f>
        <v>238</v>
      </c>
      <c r="M48" s="11">
        <f>VLOOKUP(B48,'2015-16 FORMULA'!$B$2:'2015-16 FORMULA'!$M$97,12,FALSE)</f>
        <v>801442.16546475841</v>
      </c>
      <c r="N48" s="11">
        <f>-VLOOKUP(B48,RATES!$D$8:'RATES'!$E$116,2,FALSE)</f>
        <v>-2822.9300000000003</v>
      </c>
      <c r="O48" s="11">
        <f>-VLOOKUP(B48,'LUMP SUM'!$B$7:'LUMP SUM'!$C$101,2,FALSE)</f>
        <v>-100000</v>
      </c>
      <c r="Q48" s="11">
        <f t="shared" si="10"/>
        <v>698619.23546475836</v>
      </c>
      <c r="R48" s="11">
        <f t="shared" si="11"/>
        <v>2935.3749389275563</v>
      </c>
      <c r="S48" s="817"/>
      <c r="T48" s="11">
        <f t="shared" si="12"/>
        <v>0</v>
      </c>
      <c r="U48" s="11" t="e">
        <v>#VALUE!</v>
      </c>
      <c r="V48" s="11">
        <f t="shared" si="0"/>
        <v>685632.68672954431</v>
      </c>
      <c r="W48" s="11">
        <f t="shared" si="1"/>
        <v>0</v>
      </c>
      <c r="X48" s="11">
        <f t="shared" si="2"/>
        <v>-12986.548735214048</v>
      </c>
      <c r="Y48" s="11">
        <f t="shared" si="3"/>
        <v>-12921.615991537979</v>
      </c>
      <c r="Z48" s="11">
        <f t="shared" si="4"/>
        <v>-12856.683247861909</v>
      </c>
      <c r="AA48" s="11">
        <f t="shared" si="5"/>
        <v>-12791.750504185839</v>
      </c>
      <c r="AB48" s="11">
        <f t="shared" si="6"/>
        <v>-12726.817760509768</v>
      </c>
      <c r="AC48" s="11">
        <v>0</v>
      </c>
      <c r="AG48" s="30" t="s">
        <v>1167</v>
      </c>
      <c r="AH48" s="30">
        <v>220</v>
      </c>
      <c r="AI48" s="21">
        <f t="shared" si="13"/>
        <v>-18</v>
      </c>
      <c r="AN48" s="30"/>
      <c r="AO48" s="30"/>
      <c r="AP48" s="21"/>
    </row>
    <row r="49" spans="1:42" s="11" customFormat="1" x14ac:dyDescent="0.2">
      <c r="A49" s="9" t="s">
        <v>50</v>
      </c>
      <c r="B49" s="26">
        <v>2463</v>
      </c>
      <c r="C49" s="1028">
        <v>312</v>
      </c>
      <c r="D49" s="11">
        <v>966071.61741568556</v>
      </c>
      <c r="E49" s="11">
        <v>-13566.560000000001</v>
      </c>
      <c r="F49" s="11">
        <f>-VLOOKUP(B49,'LUMP SUM'!$B$7:'LUMP SUM'!$C$101,2,FALSE)</f>
        <v>-100000</v>
      </c>
      <c r="H49" s="11">
        <f t="shared" si="7"/>
        <v>852505.0574156855</v>
      </c>
      <c r="I49" s="11">
        <f t="shared" si="8"/>
        <v>2732.3880045374535</v>
      </c>
      <c r="J49" s="11">
        <f t="shared" si="9"/>
        <v>2691.4021844693916</v>
      </c>
      <c r="L49" s="21">
        <f>VLOOKUP(B49,AWPU!$B$7:'AWPU'!$M$102,12,FALSE)</f>
        <v>336</v>
      </c>
      <c r="M49" s="11">
        <f>VLOOKUP(B49,'2015-16 FORMULA'!$B$2:'2015-16 FORMULA'!$M$97,12,FALSE)</f>
        <v>1081579.502990698</v>
      </c>
      <c r="N49" s="11">
        <f>-VLOOKUP(B49,RATES!$D$8:'RATES'!$E$116,2,FALSE)</f>
        <v>-2822.9300000000003</v>
      </c>
      <c r="O49" s="11">
        <f>-VLOOKUP(B49,'LUMP SUM'!$B$7:'LUMP SUM'!$C$101,2,FALSE)</f>
        <v>-100000</v>
      </c>
      <c r="Q49" s="11">
        <f t="shared" si="10"/>
        <v>978756.57299069804</v>
      </c>
      <c r="R49" s="11">
        <f t="shared" si="11"/>
        <v>2912.965991043744</v>
      </c>
      <c r="S49" s="817"/>
      <c r="T49" s="11">
        <f t="shared" si="12"/>
        <v>0</v>
      </c>
      <c r="U49" s="11" t="e">
        <v>#VALUE!</v>
      </c>
      <c r="V49" s="11">
        <f t="shared" si="0"/>
        <v>904311.13398171554</v>
      </c>
      <c r="W49" s="11">
        <f t="shared" si="1"/>
        <v>0</v>
      </c>
      <c r="X49" s="11">
        <f t="shared" si="2"/>
        <v>-74445.439008982503</v>
      </c>
      <c r="Y49" s="11">
        <f t="shared" si="3"/>
        <v>-74073.211813937582</v>
      </c>
      <c r="Z49" s="11">
        <f t="shared" si="4"/>
        <v>-73700.984618892675</v>
      </c>
      <c r="AA49" s="11">
        <f t="shared" si="5"/>
        <v>-73328.757423847754</v>
      </c>
      <c r="AB49" s="11">
        <f t="shared" si="6"/>
        <v>-72956.530228802847</v>
      </c>
      <c r="AC49" s="11">
        <v>0</v>
      </c>
      <c r="AG49" s="30" t="s">
        <v>1169</v>
      </c>
      <c r="AH49" s="30">
        <v>312</v>
      </c>
      <c r="AI49" s="21">
        <f t="shared" si="13"/>
        <v>-24</v>
      </c>
      <c r="AN49" s="30"/>
      <c r="AO49" s="30"/>
      <c r="AP49" s="21"/>
    </row>
    <row r="50" spans="1:42" s="11" customFormat="1" x14ac:dyDescent="0.2">
      <c r="A50" s="9" t="s">
        <v>51</v>
      </c>
      <c r="B50" s="26">
        <v>2505</v>
      </c>
      <c r="C50" s="1028">
        <v>453</v>
      </c>
      <c r="D50" s="11">
        <v>1676463.7012641418</v>
      </c>
      <c r="E50" s="11">
        <v>-28344.87</v>
      </c>
      <c r="F50" s="11">
        <f>-VLOOKUP(B50,'LUMP SUM'!$B$7:'LUMP SUM'!$C$101,2,FALSE)</f>
        <v>-100000</v>
      </c>
      <c r="H50" s="11">
        <f t="shared" si="7"/>
        <v>1548118.8312641417</v>
      </c>
      <c r="I50" s="11">
        <f t="shared" si="8"/>
        <v>3417.4808637177521</v>
      </c>
      <c r="J50" s="11">
        <f t="shared" si="9"/>
        <v>3366.2186507619858</v>
      </c>
      <c r="L50" s="21">
        <f>VLOOKUP(B50,AWPU!$B$7:'AWPU'!$M$102,12,FALSE)</f>
        <v>523</v>
      </c>
      <c r="M50" s="11">
        <f>VLOOKUP(B50,'2015-16 FORMULA'!$B$2:'2015-16 FORMULA'!$M$97,12,FALSE)</f>
        <v>1919108.8218391775</v>
      </c>
      <c r="N50" s="11">
        <f>-VLOOKUP(B50,RATES!$D$8:'RATES'!$E$116,2,FALSE)</f>
        <v>8549.0099999999984</v>
      </c>
      <c r="O50" s="11">
        <f>-VLOOKUP(B50,'LUMP SUM'!$B$7:'LUMP SUM'!$C$101,2,FALSE)</f>
        <v>-100000</v>
      </c>
      <c r="Q50" s="11">
        <f t="shared" si="10"/>
        <v>1827657.8318391775</v>
      </c>
      <c r="R50" s="11">
        <f t="shared" si="11"/>
        <v>3494.5656440519647</v>
      </c>
      <c r="S50" s="817"/>
      <c r="T50" s="11">
        <f t="shared" si="12"/>
        <v>0</v>
      </c>
      <c r="U50" s="11" t="e">
        <v>#VALUE!</v>
      </c>
      <c r="V50" s="11">
        <f t="shared" si="0"/>
        <v>1760532.3543485187</v>
      </c>
      <c r="W50" s="11">
        <f t="shared" si="1"/>
        <v>0</v>
      </c>
      <c r="X50" s="11">
        <f t="shared" si="2"/>
        <v>-67125.477490658872</v>
      </c>
      <c r="Y50" s="11">
        <f t="shared" si="3"/>
        <v>-66789.850103205579</v>
      </c>
      <c r="Z50" s="11">
        <f t="shared" si="4"/>
        <v>-66454.222715752287</v>
      </c>
      <c r="AA50" s="11">
        <f t="shared" si="5"/>
        <v>-66118.595328298994</v>
      </c>
      <c r="AB50" s="11">
        <f t="shared" si="6"/>
        <v>-65782.967940845701</v>
      </c>
      <c r="AC50" s="11">
        <v>0</v>
      </c>
      <c r="AG50" s="30" t="s">
        <v>1170</v>
      </c>
      <c r="AH50" s="30">
        <v>453</v>
      </c>
      <c r="AI50" s="21">
        <f t="shared" si="13"/>
        <v>-70</v>
      </c>
      <c r="AN50" s="30"/>
      <c r="AO50" s="30"/>
      <c r="AP50" s="21"/>
    </row>
    <row r="51" spans="1:42" s="11" customFormat="1" x14ac:dyDescent="0.2">
      <c r="A51" s="9" t="s">
        <v>52</v>
      </c>
      <c r="B51" s="26">
        <v>2000</v>
      </c>
      <c r="C51" s="1028">
        <v>280</v>
      </c>
      <c r="D51" s="11">
        <v>1015931.543940781</v>
      </c>
      <c r="E51" s="11">
        <v>-16110.29</v>
      </c>
      <c r="F51" s="11">
        <f>-VLOOKUP(B51,'LUMP SUM'!$B$7:'LUMP SUM'!$C$101,2,FALSE)</f>
        <v>-100000</v>
      </c>
      <c r="H51" s="11">
        <f t="shared" si="7"/>
        <v>899821.253940781</v>
      </c>
      <c r="I51" s="11">
        <f t="shared" si="8"/>
        <v>3213.6473355027892</v>
      </c>
      <c r="J51" s="11">
        <f t="shared" si="9"/>
        <v>3165.4426254702475</v>
      </c>
      <c r="L51" s="21">
        <f>VLOOKUP(B51,AWPU!$B$7:'AWPU'!$M$102,12,FALSE)</f>
        <v>298</v>
      </c>
      <c r="M51" s="11">
        <f>VLOOKUP(B51,'2015-16 FORMULA'!$B$2:'2015-16 FORMULA'!$M$97,12,FALSE)</f>
        <v>1095745.8213547962</v>
      </c>
      <c r="N51" s="11">
        <f>-VLOOKUP(B51,RATES!$D$8:'RATES'!$E$116,2,FALSE)</f>
        <v>-6138.08</v>
      </c>
      <c r="O51" s="11">
        <f>-VLOOKUP(B51,'LUMP SUM'!$B$7:'LUMP SUM'!$C$101,2,FALSE)</f>
        <v>-100000</v>
      </c>
      <c r="Q51" s="11">
        <f t="shared" si="10"/>
        <v>989607.7413547961</v>
      </c>
      <c r="R51" s="11">
        <f t="shared" si="11"/>
        <v>3320.8313468281749</v>
      </c>
      <c r="S51" s="817"/>
      <c r="T51" s="11">
        <f t="shared" si="12"/>
        <v>0</v>
      </c>
      <c r="U51" s="11" t="e">
        <v>#VALUE!</v>
      </c>
      <c r="V51" s="11">
        <f t="shared" si="0"/>
        <v>943301.90239013382</v>
      </c>
      <c r="W51" s="11">
        <f t="shared" si="1"/>
        <v>0</v>
      </c>
      <c r="X51" s="11">
        <f t="shared" si="2"/>
        <v>-46305.838964662282</v>
      </c>
      <c r="Y51" s="11">
        <f t="shared" si="3"/>
        <v>-46074.309769838968</v>
      </c>
      <c r="Z51" s="11">
        <f t="shared" si="4"/>
        <v>-45842.780575015655</v>
      </c>
      <c r="AA51" s="11">
        <f t="shared" si="5"/>
        <v>-45611.251380192349</v>
      </c>
      <c r="AB51" s="11">
        <f t="shared" si="6"/>
        <v>-45379.722185369035</v>
      </c>
      <c r="AC51" s="11">
        <v>0</v>
      </c>
      <c r="AG51" s="30" t="s">
        <v>1171</v>
      </c>
      <c r="AH51" s="30">
        <v>280</v>
      </c>
      <c r="AI51" s="21">
        <f t="shared" si="13"/>
        <v>-18</v>
      </c>
      <c r="AN51" s="30"/>
      <c r="AO51" s="30"/>
      <c r="AP51" s="21"/>
    </row>
    <row r="52" spans="1:42" s="11" customFormat="1" x14ac:dyDescent="0.2">
      <c r="A52" s="9" t="s">
        <v>53</v>
      </c>
      <c r="B52" s="26">
        <v>2458</v>
      </c>
      <c r="C52" s="1028">
        <v>270</v>
      </c>
      <c r="D52" s="11">
        <v>923826.58762742789</v>
      </c>
      <c r="E52" s="11">
        <v>-3270.74</v>
      </c>
      <c r="F52" s="11">
        <f>-VLOOKUP(B52,'LUMP SUM'!$B$7:'LUMP SUM'!$C$101,2,FALSE)</f>
        <v>-100000</v>
      </c>
      <c r="H52" s="11">
        <f t="shared" si="7"/>
        <v>820555.84762742789</v>
      </c>
      <c r="I52" s="11">
        <f t="shared" si="8"/>
        <v>3039.0957319534368</v>
      </c>
      <c r="J52" s="11">
        <f t="shared" si="9"/>
        <v>2993.5092959741351</v>
      </c>
      <c r="L52" s="21">
        <f>VLOOKUP(B52,AWPU!$B$7:'AWPU'!$M$102,12,FALSE)</f>
        <v>270</v>
      </c>
      <c r="M52" s="11">
        <f>VLOOKUP(B52,'2015-16 FORMULA'!$B$2:'2015-16 FORMULA'!$M$97,12,FALSE)</f>
        <v>980121.52578689193</v>
      </c>
      <c r="N52" s="11">
        <f>-VLOOKUP(B52,RATES!$D$8:'RATES'!$E$116,2,FALSE)</f>
        <v>-29638.763040000002</v>
      </c>
      <c r="O52" s="11">
        <f>-VLOOKUP(B52,'LUMP SUM'!$B$7:'LUMP SUM'!$C$101,2,FALSE)</f>
        <v>-100000</v>
      </c>
      <c r="Q52" s="11">
        <f t="shared" si="10"/>
        <v>850482.76274689194</v>
      </c>
      <c r="R52" s="11">
        <f t="shared" si="11"/>
        <v>3149.9361583218219</v>
      </c>
      <c r="S52" s="817"/>
      <c r="T52" s="11">
        <f t="shared" si="12"/>
        <v>0</v>
      </c>
      <c r="U52" s="11" t="e">
        <v>#VALUE!</v>
      </c>
      <c r="V52" s="11">
        <f t="shared" si="0"/>
        <v>808247.50991301646</v>
      </c>
      <c r="W52" s="11">
        <f t="shared" si="1"/>
        <v>0</v>
      </c>
      <c r="X52" s="11">
        <f t="shared" si="2"/>
        <v>-42235.252833875478</v>
      </c>
      <c r="Y52" s="11">
        <f t="shared" si="3"/>
        <v>-42024.0765697061</v>
      </c>
      <c r="Z52" s="11">
        <f t="shared" si="4"/>
        <v>-41812.900305536721</v>
      </c>
      <c r="AA52" s="11">
        <f t="shared" si="5"/>
        <v>-41601.724041367343</v>
      </c>
      <c r="AB52" s="11">
        <f t="shared" si="6"/>
        <v>-41390.547777197971</v>
      </c>
      <c r="AC52" s="11">
        <v>0</v>
      </c>
      <c r="AD52" s="11">
        <f t="shared" ref="AD52:AD66" si="14">Q52-H52</f>
        <v>29926.915119464044</v>
      </c>
      <c r="AG52" s="30" t="s">
        <v>1173</v>
      </c>
      <c r="AH52" s="30">
        <v>270</v>
      </c>
      <c r="AI52" s="21">
        <f t="shared" si="13"/>
        <v>0</v>
      </c>
      <c r="AN52" s="30"/>
      <c r="AO52" s="30"/>
      <c r="AP52" s="21"/>
    </row>
    <row r="53" spans="1:42" s="11" customFormat="1" x14ac:dyDescent="0.2">
      <c r="A53" s="9" t="s">
        <v>54</v>
      </c>
      <c r="B53" s="26">
        <v>2001</v>
      </c>
      <c r="C53" s="1028">
        <v>331</v>
      </c>
      <c r="D53" s="11">
        <v>1362740.5145592892</v>
      </c>
      <c r="E53" s="11">
        <v>-18290.629999999997</v>
      </c>
      <c r="F53" s="11">
        <f>-VLOOKUP(B53,'LUMP SUM'!$B$7:'LUMP SUM'!$C$101,2,FALSE)</f>
        <v>-100000</v>
      </c>
      <c r="H53" s="11">
        <f t="shared" si="7"/>
        <v>1244449.8845592893</v>
      </c>
      <c r="I53" s="11">
        <f t="shared" si="8"/>
        <v>3759.6673249525356</v>
      </c>
      <c r="J53" s="11">
        <f t="shared" si="9"/>
        <v>3703.2723150782476</v>
      </c>
      <c r="L53" s="21">
        <f>VLOOKUP(B53,AWPU!$B$7:'AWPU'!$M$102,12,FALSE)</f>
        <v>353</v>
      </c>
      <c r="M53" s="11">
        <f>VLOOKUP(B53,'2015-16 FORMULA'!$B$2:'2015-16 FORMULA'!$M$97,12,FALSE)</f>
        <v>1449987.2904295556</v>
      </c>
      <c r="N53" s="11">
        <f>-VLOOKUP(B53,RATES!$D$8:'RATES'!$E$116,2,FALSE)</f>
        <v>1745.6599999999999</v>
      </c>
      <c r="O53" s="11">
        <f>-VLOOKUP(B53,'LUMP SUM'!$B$7:'LUMP SUM'!$C$101,2,FALSE)</f>
        <v>-100000</v>
      </c>
      <c r="Q53" s="11">
        <f t="shared" si="10"/>
        <v>1351732.9504295555</v>
      </c>
      <c r="R53" s="11">
        <f t="shared" si="11"/>
        <v>3829.2718142480326</v>
      </c>
      <c r="S53" s="817"/>
      <c r="T53" s="11">
        <f t="shared" si="12"/>
        <v>0</v>
      </c>
      <c r="U53" s="11" t="e">
        <v>#VALUE!</v>
      </c>
      <c r="V53" s="11">
        <f t="shared" si="0"/>
        <v>1307255.1272226213</v>
      </c>
      <c r="W53" s="11">
        <f t="shared" si="1"/>
        <v>0</v>
      </c>
      <c r="X53" s="11">
        <f t="shared" si="2"/>
        <v>-44477.823206934147</v>
      </c>
      <c r="Y53" s="11">
        <f t="shared" si="3"/>
        <v>-44255.434090899478</v>
      </c>
      <c r="Z53" s="11">
        <f t="shared" si="4"/>
        <v>-44033.044974864802</v>
      </c>
      <c r="AA53" s="11">
        <f t="shared" si="5"/>
        <v>-43810.655858830134</v>
      </c>
      <c r="AB53" s="11">
        <f t="shared" si="6"/>
        <v>-43588.266742795466</v>
      </c>
      <c r="AC53" s="11">
        <v>0</v>
      </c>
      <c r="AG53" s="30" t="s">
        <v>1176</v>
      </c>
      <c r="AH53" s="30">
        <v>331</v>
      </c>
      <c r="AI53" s="21">
        <f t="shared" si="13"/>
        <v>-22</v>
      </c>
      <c r="AN53" s="30"/>
      <c r="AO53" s="30"/>
      <c r="AP53" s="21"/>
    </row>
    <row r="54" spans="1:42" s="11" customFormat="1" x14ac:dyDescent="0.2">
      <c r="A54" s="9" t="s">
        <v>55</v>
      </c>
      <c r="B54" s="26">
        <v>2429</v>
      </c>
      <c r="C54" s="1028">
        <v>155</v>
      </c>
      <c r="D54" s="11">
        <v>713164.24860413023</v>
      </c>
      <c r="E54" s="11">
        <v>-8963.6200000000008</v>
      </c>
      <c r="F54" s="11">
        <f>-VLOOKUP(B54,'LUMP SUM'!$B$7:'LUMP SUM'!$C$101,2,FALSE)</f>
        <v>-100000</v>
      </c>
      <c r="H54" s="11">
        <f t="shared" si="7"/>
        <v>604200.62860413024</v>
      </c>
      <c r="I54" s="11">
        <f t="shared" si="8"/>
        <v>3898.0685716395501</v>
      </c>
      <c r="J54" s="11">
        <f t="shared" si="9"/>
        <v>3839.5975430649569</v>
      </c>
      <c r="L54" s="21">
        <f>VLOOKUP(B54,AWPU!$B$7:'AWPU'!$M$102,12,FALSE)</f>
        <v>150</v>
      </c>
      <c r="M54" s="11">
        <f>VLOOKUP(B54,'2015-16 FORMULA'!$B$2:'2015-16 FORMULA'!$M$97,12,FALSE)</f>
        <v>689036.41356901417</v>
      </c>
      <c r="N54" s="11">
        <f>-VLOOKUP(B54,RATES!$D$8:'RATES'!$E$116,2,FALSE)</f>
        <v>3356.6800000000003</v>
      </c>
      <c r="O54" s="11">
        <f>-VLOOKUP(B54,'LUMP SUM'!$B$7:'LUMP SUM'!$C$101,2,FALSE)</f>
        <v>-100000</v>
      </c>
      <c r="Q54" s="11">
        <f t="shared" si="10"/>
        <v>592393.09356901422</v>
      </c>
      <c r="R54" s="11">
        <f t="shared" si="11"/>
        <v>3949.2872904600949</v>
      </c>
      <c r="S54" s="817"/>
      <c r="T54" s="11">
        <f t="shared" si="12"/>
        <v>0</v>
      </c>
      <c r="U54" s="11" t="e">
        <v>#VALUE!</v>
      </c>
      <c r="V54" s="11">
        <f t="shared" si="0"/>
        <v>575939.63145974348</v>
      </c>
      <c r="W54" s="11">
        <f t="shared" si="1"/>
        <v>0</v>
      </c>
      <c r="X54" s="11">
        <f t="shared" si="2"/>
        <v>-16453.462109270738</v>
      </c>
      <c r="Y54" s="11">
        <f t="shared" si="3"/>
        <v>-16371.194798724386</v>
      </c>
      <c r="Z54" s="11">
        <f t="shared" si="4"/>
        <v>-16288.927488178033</v>
      </c>
      <c r="AA54" s="11">
        <f t="shared" si="5"/>
        <v>-16206.660177631678</v>
      </c>
      <c r="AB54" s="11">
        <f t="shared" si="6"/>
        <v>-16124.392867085326</v>
      </c>
      <c r="AC54" s="11">
        <v>0</v>
      </c>
      <c r="AG54" s="30" t="s">
        <v>1177</v>
      </c>
      <c r="AH54" s="30">
        <v>155</v>
      </c>
      <c r="AI54" s="21">
        <f t="shared" si="13"/>
        <v>5</v>
      </c>
      <c r="AN54" s="30"/>
      <c r="AO54" s="30"/>
      <c r="AP54" s="21"/>
    </row>
    <row r="55" spans="1:42" s="11" customFormat="1" x14ac:dyDescent="0.2">
      <c r="A55" s="9" t="s">
        <v>56</v>
      </c>
      <c r="B55" s="26">
        <v>2444</v>
      </c>
      <c r="C55" s="1028">
        <v>209</v>
      </c>
      <c r="D55" s="11">
        <v>762041.21804810152</v>
      </c>
      <c r="E55" s="11">
        <v>-9327.01</v>
      </c>
      <c r="F55" s="11">
        <f>-VLOOKUP(B55,'LUMP SUM'!$B$7:'LUMP SUM'!$C$101,2,FALSE)</f>
        <v>-100000</v>
      </c>
      <c r="H55" s="11">
        <f t="shared" si="7"/>
        <v>652714.20804810151</v>
      </c>
      <c r="I55" s="11">
        <f t="shared" si="8"/>
        <v>3123.0344882684285</v>
      </c>
      <c r="J55" s="11">
        <f t="shared" si="9"/>
        <v>3076.1889709444022</v>
      </c>
      <c r="L55" s="21">
        <f>VLOOKUP(B55,AWPU!$B$7:'AWPU'!$M$102,12,FALSE)</f>
        <v>208</v>
      </c>
      <c r="M55" s="11">
        <f>VLOOKUP(B55,'2015-16 FORMULA'!$B$2:'2015-16 FORMULA'!$M$97,12,FALSE)</f>
        <v>787918.46865087736</v>
      </c>
      <c r="N55" s="11">
        <f>-VLOOKUP(B55,RATES!$D$8:'RATES'!$E$116,2,FALSE)</f>
        <v>-5900.59</v>
      </c>
      <c r="O55" s="11">
        <f>-VLOOKUP(B55,'LUMP SUM'!$B$7:'LUMP SUM'!$C$101,2,FALSE)</f>
        <v>-100000</v>
      </c>
      <c r="Q55" s="11">
        <f t="shared" si="10"/>
        <v>682017.87865087739</v>
      </c>
      <c r="R55" s="11">
        <f t="shared" si="11"/>
        <v>3278.9321088984489</v>
      </c>
      <c r="S55" s="817"/>
      <c r="T55" s="11">
        <f t="shared" si="12"/>
        <v>0</v>
      </c>
      <c r="U55" s="11" t="e">
        <v>#VALUE!</v>
      </c>
      <c r="V55" s="11">
        <f t="shared" si="0"/>
        <v>639847.30595643562</v>
      </c>
      <c r="W55" s="11">
        <f t="shared" si="1"/>
        <v>0</v>
      </c>
      <c r="X55" s="11">
        <f t="shared" si="2"/>
        <v>-42170.572694441769</v>
      </c>
      <c r="Y55" s="11">
        <f t="shared" si="3"/>
        <v>-41959.71983096956</v>
      </c>
      <c r="Z55" s="11">
        <f t="shared" si="4"/>
        <v>-41748.86696749735</v>
      </c>
      <c r="AA55" s="11">
        <f t="shared" si="5"/>
        <v>-41538.01410402514</v>
      </c>
      <c r="AB55" s="11">
        <f t="shared" si="6"/>
        <v>-41327.16124055293</v>
      </c>
      <c r="AC55" s="11">
        <v>0</v>
      </c>
      <c r="AG55" s="30" t="s">
        <v>1178</v>
      </c>
      <c r="AH55" s="30">
        <v>209</v>
      </c>
      <c r="AI55" s="21">
        <f t="shared" si="13"/>
        <v>1</v>
      </c>
      <c r="AN55" s="30"/>
      <c r="AO55" s="30"/>
      <c r="AP55" s="21"/>
    </row>
    <row r="56" spans="1:42" s="11" customFormat="1" x14ac:dyDescent="0.2">
      <c r="A56" s="9" t="s">
        <v>57</v>
      </c>
      <c r="B56" s="26">
        <v>5209</v>
      </c>
      <c r="C56" s="1028">
        <v>270</v>
      </c>
      <c r="D56" s="11">
        <v>992927.3080341256</v>
      </c>
      <c r="E56" s="11">
        <v>-2552.31</v>
      </c>
      <c r="F56" s="11">
        <f>-VLOOKUP(B56,'LUMP SUM'!$B$7:'LUMP SUM'!$C$101,2,FALSE)</f>
        <v>-100000</v>
      </c>
      <c r="H56" s="11">
        <f t="shared" si="7"/>
        <v>890374.99803412554</v>
      </c>
      <c r="I56" s="11">
        <f t="shared" si="8"/>
        <v>3297.6851779041685</v>
      </c>
      <c r="J56" s="11">
        <f t="shared" si="9"/>
        <v>3248.219900235606</v>
      </c>
      <c r="L56" s="21">
        <f>VLOOKUP(B56,AWPU!$B$7:'AWPU'!$M$102,12,FALSE)</f>
        <v>274</v>
      </c>
      <c r="M56" s="11">
        <f>VLOOKUP(B56,'2015-16 FORMULA'!$B$2:'2015-16 FORMULA'!$M$97,12,FALSE)</f>
        <v>1008142.35555051</v>
      </c>
      <c r="N56" s="11">
        <f>-VLOOKUP(B56,RATES!$D$8:'RATES'!$E$116,2,FALSE)</f>
        <v>-2450.0580000000009</v>
      </c>
      <c r="O56" s="11">
        <f>-VLOOKUP(B56,'LUMP SUM'!$B$7:'LUMP SUM'!$C$101,2,FALSE)</f>
        <v>-100000</v>
      </c>
      <c r="Q56" s="11">
        <f t="shared" si="10"/>
        <v>905692.29755051003</v>
      </c>
      <c r="R56" s="11">
        <f t="shared" si="11"/>
        <v>3305.4463414252191</v>
      </c>
      <c r="S56" s="817"/>
      <c r="T56" s="11">
        <f t="shared" si="12"/>
        <v>0</v>
      </c>
      <c r="U56" s="11" t="e">
        <v>#VALUE!</v>
      </c>
      <c r="V56" s="11">
        <f t="shared" si="0"/>
        <v>890012.25266455603</v>
      </c>
      <c r="W56" s="11">
        <f t="shared" si="1"/>
        <v>0</v>
      </c>
      <c r="X56" s="11">
        <f t="shared" si="2"/>
        <v>-15680.044885954005</v>
      </c>
      <c r="Y56" s="11">
        <f t="shared" si="3"/>
        <v>-15601.644661524235</v>
      </c>
      <c r="Z56" s="11">
        <f t="shared" si="4"/>
        <v>-15523.244437094463</v>
      </c>
      <c r="AA56" s="11">
        <f t="shared" si="5"/>
        <v>-15444.844212664693</v>
      </c>
      <c r="AB56" s="11">
        <f t="shared" si="6"/>
        <v>-15366.443988234923</v>
      </c>
      <c r="AC56" s="11">
        <v>0</v>
      </c>
      <c r="AG56" s="30" t="s">
        <v>1179</v>
      </c>
      <c r="AH56" s="30">
        <v>270</v>
      </c>
      <c r="AI56" s="21">
        <f t="shared" si="13"/>
        <v>-4</v>
      </c>
      <c r="AN56" s="30"/>
      <c r="AO56" s="30"/>
      <c r="AP56" s="21"/>
    </row>
    <row r="57" spans="1:42" s="11" customFormat="1" x14ac:dyDescent="0.2">
      <c r="A57" s="9" t="s">
        <v>58</v>
      </c>
      <c r="B57" s="26">
        <v>2469</v>
      </c>
      <c r="C57" s="1028">
        <v>412</v>
      </c>
      <c r="D57" s="11">
        <v>1269323.3681876485</v>
      </c>
      <c r="E57" s="11">
        <v>-14172.21</v>
      </c>
      <c r="F57" s="11">
        <f>-VLOOKUP(B57,'LUMP SUM'!$B$7:'LUMP SUM'!$C$101,2,FALSE)</f>
        <v>-100000</v>
      </c>
      <c r="H57" s="11">
        <f t="shared" si="7"/>
        <v>1155151.1581876485</v>
      </c>
      <c r="I57" s="11">
        <f t="shared" si="8"/>
        <v>2803.7649470573992</v>
      </c>
      <c r="J57" s="11">
        <f t="shared" si="9"/>
        <v>2761.7084728515383</v>
      </c>
      <c r="L57" s="21">
        <f>VLOOKUP(B57,AWPU!$B$7:'AWPU'!$M$102,12,FALSE)</f>
        <v>411</v>
      </c>
      <c r="M57" s="11">
        <f>VLOOKUP(B57,'2015-16 FORMULA'!$B$2:'2015-16 FORMULA'!$M$97,12,FALSE)</f>
        <v>1265529.1735073242</v>
      </c>
      <c r="N57" s="11">
        <f>-VLOOKUP(B57,RATES!$D$8:'RATES'!$E$116,2,FALSE)</f>
        <v>2409.9300000000003</v>
      </c>
      <c r="O57" s="11">
        <f>-VLOOKUP(B57,'LUMP SUM'!$B$7:'LUMP SUM'!$C$101,2,FALSE)</f>
        <v>-100000</v>
      </c>
      <c r="Q57" s="11">
        <f t="shared" si="10"/>
        <v>1167939.1035073241</v>
      </c>
      <c r="R57" s="11">
        <f t="shared" si="11"/>
        <v>2841.7009817696448</v>
      </c>
      <c r="S57" s="817"/>
      <c r="T57" s="11">
        <f t="shared" si="12"/>
        <v>0</v>
      </c>
      <c r="U57" s="11" t="e">
        <v>#VALUE!</v>
      </c>
      <c r="V57" s="11">
        <f t="shared" si="0"/>
        <v>1135062.1823419821</v>
      </c>
      <c r="W57" s="11">
        <f t="shared" si="1"/>
        <v>0</v>
      </c>
      <c r="X57" s="11">
        <f t="shared" si="2"/>
        <v>-32876.921165341977</v>
      </c>
      <c r="Y57" s="11">
        <f t="shared" si="3"/>
        <v>-32712.536559515265</v>
      </c>
      <c r="Z57" s="11">
        <f t="shared" si="4"/>
        <v>-32548.151953688553</v>
      </c>
      <c r="AA57" s="11">
        <f t="shared" si="5"/>
        <v>-32383.767347861845</v>
      </c>
      <c r="AB57" s="11">
        <f t="shared" si="6"/>
        <v>-32219.382742035134</v>
      </c>
      <c r="AC57" s="11">
        <v>0</v>
      </c>
      <c r="AG57" s="30" t="s">
        <v>1180</v>
      </c>
      <c r="AH57" s="30">
        <v>412</v>
      </c>
      <c r="AI57" s="21">
        <f t="shared" si="13"/>
        <v>1</v>
      </c>
      <c r="AN57" s="30"/>
      <c r="AO57" s="30"/>
      <c r="AP57" s="21"/>
    </row>
    <row r="58" spans="1:42" s="11" customFormat="1" x14ac:dyDescent="0.2">
      <c r="A58" s="59" t="s">
        <v>451</v>
      </c>
      <c r="B58" s="26">
        <v>2430</v>
      </c>
      <c r="C58" s="1028">
        <v>113</v>
      </c>
      <c r="D58" s="11">
        <v>605371.58758840431</v>
      </c>
      <c r="E58" s="11">
        <v>-19501.93</v>
      </c>
      <c r="F58" s="11">
        <f>-VLOOKUP(B58,'LUMP SUM'!$B$7:'LUMP SUM'!$C$101,2,FALSE)</f>
        <v>-100000</v>
      </c>
      <c r="H58" s="11">
        <f t="shared" si="7"/>
        <v>485869.65758840425</v>
      </c>
      <c r="I58" s="11">
        <f t="shared" si="8"/>
        <v>4299.7314830832238</v>
      </c>
      <c r="J58" s="11">
        <f t="shared" si="9"/>
        <v>4235.2355108369757</v>
      </c>
      <c r="L58" s="21">
        <f>VLOOKUP(B58,AWPU!$B$7:'AWPU'!$M$102,12,FALSE)</f>
        <v>120</v>
      </c>
      <c r="M58" s="11">
        <f>VLOOKUP(B58,'2015-16 FORMULA'!$B$2:'2015-16 FORMULA'!$M$97,12,FALSE)</f>
        <v>633614.18717153161</v>
      </c>
      <c r="N58" s="11">
        <f>-VLOOKUP(B58,RATES!$D$8:'RATES'!$E$116,2,FALSE)</f>
        <v>-16330.909999999998</v>
      </c>
      <c r="O58" s="11">
        <f>-VLOOKUP(B58,'LUMP SUM'!$B$7:'LUMP SUM'!$C$101,2,FALSE)</f>
        <v>-100000</v>
      </c>
      <c r="Q58" s="11">
        <f t="shared" si="10"/>
        <v>517283.27717153158</v>
      </c>
      <c r="R58" s="11">
        <f t="shared" si="11"/>
        <v>4310.6939764294302</v>
      </c>
      <c r="S58" s="817"/>
      <c r="T58" s="11">
        <f t="shared" si="12"/>
        <v>0</v>
      </c>
      <c r="U58" s="11" t="e">
        <v>#VALUE!</v>
      </c>
      <c r="V58" s="11">
        <f t="shared" si="0"/>
        <v>508228.26130043709</v>
      </c>
      <c r="W58" s="11">
        <f t="shared" si="1"/>
        <v>0</v>
      </c>
      <c r="X58" s="11">
        <f t="shared" si="2"/>
        <v>-9055.0158710944816</v>
      </c>
      <c r="Y58" s="11">
        <f t="shared" si="3"/>
        <v>-9009.7407917390083</v>
      </c>
      <c r="Z58" s="11">
        <f t="shared" si="4"/>
        <v>-8964.4657123835368</v>
      </c>
      <c r="AA58" s="11">
        <f t="shared" si="5"/>
        <v>-8919.1906330280635</v>
      </c>
      <c r="AB58" s="11">
        <f t="shared" si="6"/>
        <v>-8873.9155536725921</v>
      </c>
      <c r="AC58" s="11">
        <v>0</v>
      </c>
      <c r="AG58" s="30" t="s">
        <v>1181</v>
      </c>
      <c r="AH58" s="30">
        <v>113</v>
      </c>
      <c r="AI58" s="21">
        <f t="shared" si="13"/>
        <v>-7</v>
      </c>
      <c r="AN58" s="30"/>
      <c r="AO58" s="30"/>
      <c r="AP58" s="21"/>
    </row>
    <row r="59" spans="1:42" s="11" customFormat="1" x14ac:dyDescent="0.2">
      <c r="A59" s="9" t="s">
        <v>59</v>
      </c>
      <c r="B59" s="26">
        <v>2466</v>
      </c>
      <c r="C59" s="1028">
        <v>164</v>
      </c>
      <c r="D59" s="11">
        <v>614349.45769162301</v>
      </c>
      <c r="E59" s="11">
        <v>-12113</v>
      </c>
      <c r="F59" s="11">
        <f>-VLOOKUP(B59,'LUMP SUM'!$B$7:'LUMP SUM'!$C$101,2,FALSE)</f>
        <v>-100000</v>
      </c>
      <c r="H59" s="11">
        <f t="shared" si="7"/>
        <v>502236.45769162301</v>
      </c>
      <c r="I59" s="11">
        <f t="shared" si="8"/>
        <v>3062.4174249489206</v>
      </c>
      <c r="J59" s="11">
        <f t="shared" si="9"/>
        <v>3016.4811635746869</v>
      </c>
      <c r="L59" s="21">
        <f>VLOOKUP(B59,AWPU!$B$7:'AWPU'!$M$102,12,FALSE)</f>
        <v>197</v>
      </c>
      <c r="M59" s="11">
        <f>VLOOKUP(B59,'2015-16 FORMULA'!$B$2:'2015-16 FORMULA'!$M$97,12,FALSE)</f>
        <v>733102.621733887</v>
      </c>
      <c r="N59" s="11">
        <f>-VLOOKUP(B59,RATES!$D$8:'RATES'!$E$116,2,FALSE)</f>
        <v>-4447.1099999999997</v>
      </c>
      <c r="O59" s="11">
        <f>-VLOOKUP(B59,'LUMP SUM'!$B$7:'LUMP SUM'!$C$101,2,FALSE)</f>
        <v>-100000</v>
      </c>
      <c r="Q59" s="11">
        <f t="shared" si="10"/>
        <v>628655.51173388702</v>
      </c>
      <c r="R59" s="11">
        <f t="shared" si="11"/>
        <v>3191.1447296136398</v>
      </c>
      <c r="S59" s="817"/>
      <c r="T59" s="11">
        <f t="shared" si="12"/>
        <v>0</v>
      </c>
      <c r="U59" s="11" t="e">
        <v>#VALUE!</v>
      </c>
      <c r="V59" s="11">
        <f t="shared" si="0"/>
        <v>594246.78922421334</v>
      </c>
      <c r="W59" s="11">
        <f t="shared" si="1"/>
        <v>0</v>
      </c>
      <c r="X59" s="11">
        <f t="shared" si="2"/>
        <v>-34408.72250967368</v>
      </c>
      <c r="Y59" s="11">
        <f t="shared" si="3"/>
        <v>-34236.678897125312</v>
      </c>
      <c r="Z59" s="11">
        <f t="shared" si="4"/>
        <v>-34064.635284576943</v>
      </c>
      <c r="AA59" s="11">
        <f t="shared" si="5"/>
        <v>-33892.591672028575</v>
      </c>
      <c r="AB59" s="11">
        <f t="shared" si="6"/>
        <v>-33720.548059480207</v>
      </c>
      <c r="AC59" s="11">
        <v>0</v>
      </c>
      <c r="AG59" s="30" t="s">
        <v>1182</v>
      </c>
      <c r="AH59" s="30">
        <v>164</v>
      </c>
      <c r="AI59" s="21">
        <f t="shared" si="13"/>
        <v>-33</v>
      </c>
      <c r="AN59" s="30"/>
      <c r="AO59" s="30"/>
      <c r="AP59" s="21"/>
    </row>
    <row r="60" spans="1:42" s="11" customFormat="1" x14ac:dyDescent="0.2">
      <c r="A60" s="9" t="s">
        <v>60</v>
      </c>
      <c r="B60" s="26">
        <v>3543</v>
      </c>
      <c r="C60" s="1028">
        <v>293</v>
      </c>
      <c r="D60" s="11">
        <v>960577.15574687335</v>
      </c>
      <c r="E60" s="11">
        <v>-3183.5099999999998</v>
      </c>
      <c r="F60" s="11">
        <f>-VLOOKUP(B60,'LUMP SUM'!$B$7:'LUMP SUM'!$C$101,2,FALSE)</f>
        <v>-100000</v>
      </c>
      <c r="H60" s="11">
        <f t="shared" si="7"/>
        <v>857393.64574687334</v>
      </c>
      <c r="I60" s="11">
        <f t="shared" si="8"/>
        <v>2926.258176610489</v>
      </c>
      <c r="J60" s="11">
        <f t="shared" si="9"/>
        <v>2882.3643039613316</v>
      </c>
      <c r="L60" s="21">
        <f>VLOOKUP(B60,AWPU!$B$7:'AWPU'!$M$102,12,FALSE)</f>
        <v>301</v>
      </c>
      <c r="M60" s="11">
        <f>VLOOKUP(B60,'2015-16 FORMULA'!$B$2:'2015-16 FORMULA'!$M$97,12,FALSE)</f>
        <v>1012929.0583131936</v>
      </c>
      <c r="N60" s="11">
        <f>-VLOOKUP(B60,RATES!$D$8:'RATES'!$E$116,2,FALSE)</f>
        <v>1078.8619999999992</v>
      </c>
      <c r="O60" s="11">
        <f>-VLOOKUP(B60,'LUMP SUM'!$B$7:'LUMP SUM'!$C$101,2,FALSE)</f>
        <v>-100000</v>
      </c>
      <c r="Q60" s="11">
        <f t="shared" si="10"/>
        <v>914007.92031319358</v>
      </c>
      <c r="R60" s="11">
        <f t="shared" si="11"/>
        <v>3036.5711638312077</v>
      </c>
      <c r="S60" s="817"/>
      <c r="T60" s="11">
        <f t="shared" si="12"/>
        <v>0</v>
      </c>
      <c r="U60" s="11" t="e">
        <v>#VALUE!</v>
      </c>
      <c r="V60" s="11">
        <f t="shared" si="0"/>
        <v>867591.65549236082</v>
      </c>
      <c r="W60" s="11">
        <f t="shared" si="1"/>
        <v>0</v>
      </c>
      <c r="X60" s="11">
        <f t="shared" si="2"/>
        <v>-46416.264820832759</v>
      </c>
      <c r="Y60" s="11">
        <f t="shared" si="3"/>
        <v>-46184.183496728598</v>
      </c>
      <c r="Z60" s="11">
        <f t="shared" si="4"/>
        <v>-45952.102172624429</v>
      </c>
      <c r="AA60" s="11">
        <f t="shared" si="5"/>
        <v>-45720.020848520267</v>
      </c>
      <c r="AB60" s="11">
        <f t="shared" si="6"/>
        <v>-45487.939524416106</v>
      </c>
      <c r="AC60" s="11">
        <v>0</v>
      </c>
      <c r="AG60" s="30" t="s">
        <v>1183</v>
      </c>
      <c r="AH60" s="30">
        <v>293</v>
      </c>
      <c r="AI60" s="21">
        <f t="shared" si="13"/>
        <v>-8</v>
      </c>
      <c r="AN60" s="30"/>
      <c r="AO60" s="30"/>
      <c r="AP60" s="21"/>
    </row>
    <row r="61" spans="1:42" s="11" customFormat="1" x14ac:dyDescent="0.2">
      <c r="A61" s="9" t="s">
        <v>62</v>
      </c>
      <c r="B61" s="26">
        <v>3531</v>
      </c>
      <c r="C61" s="1028">
        <v>350</v>
      </c>
      <c r="D61" s="11">
        <v>1235009.2729262824</v>
      </c>
      <c r="E61" s="11">
        <v>-3183.2099999999996</v>
      </c>
      <c r="F61" s="11">
        <f>-VLOOKUP(B61,'LUMP SUM'!$B$7:'LUMP SUM'!$C$101,2,FALSE)</f>
        <v>-100000</v>
      </c>
      <c r="H61" s="11">
        <f t="shared" si="7"/>
        <v>1131826.0629262824</v>
      </c>
      <c r="I61" s="11">
        <f t="shared" si="8"/>
        <v>3233.7887512179495</v>
      </c>
      <c r="J61" s="11">
        <f t="shared" si="9"/>
        <v>3185.2819199496803</v>
      </c>
      <c r="L61" s="21">
        <f>VLOOKUP(B61,AWPU!$B$7:'AWPU'!$M$102,12,FALSE)</f>
        <v>352</v>
      </c>
      <c r="M61" s="11">
        <f>VLOOKUP(B61,'2015-16 FORMULA'!$B$2:'2015-16 FORMULA'!$M$97,12,FALSE)</f>
        <v>1240584.9697193063</v>
      </c>
      <c r="N61" s="11">
        <f>-VLOOKUP(B61,RATES!$D$8:'RATES'!$E$116,2,FALSE)</f>
        <v>-2859.3999999999996</v>
      </c>
      <c r="O61" s="11">
        <f>-VLOOKUP(B61,'LUMP SUM'!$B$7:'LUMP SUM'!$C$101,2,FALSE)</f>
        <v>-100000</v>
      </c>
      <c r="Q61" s="11">
        <f t="shared" si="10"/>
        <v>1137725.5697193064</v>
      </c>
      <c r="R61" s="11">
        <f t="shared" si="11"/>
        <v>3232.1749139753024</v>
      </c>
      <c r="S61" s="817"/>
      <c r="T61" s="11">
        <f t="shared" si="12"/>
        <v>0</v>
      </c>
      <c r="U61" s="11" t="e">
        <v>#VALUE!</v>
      </c>
      <c r="V61" s="11">
        <f t="shared" si="0"/>
        <v>1121219.2358222874</v>
      </c>
      <c r="W61" s="11">
        <f t="shared" si="1"/>
        <v>0</v>
      </c>
      <c r="X61" s="11">
        <f t="shared" si="2"/>
        <v>-16506.333897019038</v>
      </c>
      <c r="Y61" s="11">
        <f t="shared" si="3"/>
        <v>-16423.802227533943</v>
      </c>
      <c r="Z61" s="11">
        <f t="shared" si="4"/>
        <v>-16341.270558048849</v>
      </c>
      <c r="AA61" s="11">
        <f t="shared" si="5"/>
        <v>-16258.738888563754</v>
      </c>
      <c r="AB61" s="11">
        <f t="shared" si="6"/>
        <v>-16176.207219078658</v>
      </c>
      <c r="AC61" s="11">
        <v>0</v>
      </c>
      <c r="AG61" s="30" t="s">
        <v>1184</v>
      </c>
      <c r="AH61" s="30">
        <v>350</v>
      </c>
      <c r="AI61" s="21">
        <f t="shared" si="13"/>
        <v>-2</v>
      </c>
      <c r="AN61" s="30"/>
      <c r="AO61" s="30"/>
      <c r="AP61" s="21"/>
    </row>
    <row r="62" spans="1:42" s="11" customFormat="1" x14ac:dyDescent="0.2">
      <c r="A62" s="9" t="s">
        <v>103</v>
      </c>
      <c r="B62" s="26">
        <v>3526</v>
      </c>
      <c r="C62" s="1028">
        <v>83</v>
      </c>
      <c r="D62" s="11">
        <v>416430.51133806439</v>
      </c>
      <c r="E62" s="11">
        <v>-1240.8799999999999</v>
      </c>
      <c r="F62" s="11">
        <f>-VLOOKUP(B62,'LUMP SUM'!$B$7:'LUMP SUM'!$C$101,2,FALSE)</f>
        <v>-100000</v>
      </c>
      <c r="H62" s="11">
        <f t="shared" si="7"/>
        <v>315189.63133806438</v>
      </c>
      <c r="I62" s="11">
        <f t="shared" si="8"/>
        <v>3797.4654378080045</v>
      </c>
      <c r="J62" s="11">
        <f t="shared" si="9"/>
        <v>3740.5034562408846</v>
      </c>
      <c r="L62" s="21">
        <f>VLOOKUP(B62,AWPU!$B$7:'AWPU'!$M$102,12,FALSE)</f>
        <v>85</v>
      </c>
      <c r="M62" s="11">
        <f>VLOOKUP(B62,'2015-16 FORMULA'!$B$2:'2015-16 FORMULA'!$M$97,12,FALSE)</f>
        <v>448205.32351295778</v>
      </c>
      <c r="N62" s="11">
        <f>-VLOOKUP(B62,RATES!$D$8:'RATES'!$E$116,2,FALSE)</f>
        <v>-30.903999999999996</v>
      </c>
      <c r="O62" s="11">
        <f>-VLOOKUP(B62,'LUMP SUM'!$B$7:'LUMP SUM'!$C$101,2,FALSE)</f>
        <v>-100000</v>
      </c>
      <c r="Q62" s="11">
        <f t="shared" si="10"/>
        <v>348174.4195129578</v>
      </c>
      <c r="R62" s="11">
        <f t="shared" si="11"/>
        <v>4096.1696413289155</v>
      </c>
      <c r="S62" s="817"/>
      <c r="T62" s="11">
        <f t="shared" si="12"/>
        <v>0</v>
      </c>
      <c r="U62" s="11" t="e">
        <v>#VALUE!</v>
      </c>
      <c r="V62" s="11">
        <f t="shared" si="0"/>
        <v>317942.79378047521</v>
      </c>
      <c r="W62" s="11">
        <f t="shared" si="1"/>
        <v>0</v>
      </c>
      <c r="X62" s="11">
        <f t="shared" si="2"/>
        <v>-30231.625732482586</v>
      </c>
      <c r="Y62" s="11">
        <f t="shared" si="3"/>
        <v>-30080.467603820172</v>
      </c>
      <c r="Z62" s="11">
        <f t="shared" si="4"/>
        <v>-29929.309475157763</v>
      </c>
      <c r="AA62" s="11">
        <f t="shared" si="5"/>
        <v>-29778.15134649535</v>
      </c>
      <c r="AB62" s="11">
        <f t="shared" si="6"/>
        <v>-29626.993217832936</v>
      </c>
      <c r="AC62" s="11">
        <v>0</v>
      </c>
      <c r="AD62" s="11">
        <f t="shared" si="14"/>
        <v>32984.788174893416</v>
      </c>
      <c r="AG62" s="30" t="s">
        <v>1186</v>
      </c>
      <c r="AH62" s="30">
        <v>83</v>
      </c>
      <c r="AI62" s="21">
        <f t="shared" si="13"/>
        <v>-2</v>
      </c>
      <c r="AN62" s="30"/>
      <c r="AO62" s="30"/>
      <c r="AP62" s="21"/>
    </row>
    <row r="63" spans="1:42" s="11" customFormat="1" x14ac:dyDescent="0.2">
      <c r="A63" s="9" t="s">
        <v>104</v>
      </c>
      <c r="B63" s="26">
        <v>3535</v>
      </c>
      <c r="C63" s="1028">
        <v>302</v>
      </c>
      <c r="D63" s="11">
        <v>1325690.0626867192</v>
      </c>
      <c r="E63" s="11">
        <v>-2501.34</v>
      </c>
      <c r="F63" s="11">
        <f>-VLOOKUP(B63,'LUMP SUM'!$B$7:'LUMP SUM'!$C$101,2,FALSE)</f>
        <v>-100000</v>
      </c>
      <c r="H63" s="11">
        <f t="shared" si="7"/>
        <v>1223188.7226867191</v>
      </c>
      <c r="I63" s="11">
        <f t="shared" si="8"/>
        <v>4050.2937837308582</v>
      </c>
      <c r="J63" s="11">
        <f t="shared" si="9"/>
        <v>3989.5393769748953</v>
      </c>
      <c r="L63" s="21">
        <f>VLOOKUP(B63,AWPU!$B$7:'AWPU'!$M$102,12,FALSE)</f>
        <v>297</v>
      </c>
      <c r="M63" s="11">
        <f>VLOOKUP(B63,'2015-16 FORMULA'!$B$2:'2015-16 FORMULA'!$M$97,12,FALSE)</f>
        <v>1211754.5681819955</v>
      </c>
      <c r="N63" s="11">
        <f>-VLOOKUP(B63,RATES!$D$8:'RATES'!$E$116,2,FALSE)</f>
        <v>-861.75199999999882</v>
      </c>
      <c r="O63" s="11">
        <f>-VLOOKUP(B63,'LUMP SUM'!$B$7:'LUMP SUM'!$C$101,2,FALSE)</f>
        <v>-100000</v>
      </c>
      <c r="Q63" s="11">
        <f t="shared" si="10"/>
        <v>1110892.8161819954</v>
      </c>
      <c r="R63" s="11">
        <f t="shared" si="11"/>
        <v>3740.3798524646313</v>
      </c>
      <c r="S63" s="817"/>
      <c r="T63" s="11">
        <f t="shared" si="12"/>
        <v>74000.378779548453</v>
      </c>
      <c r="U63" s="11" t="e">
        <v>#VALUE!</v>
      </c>
      <c r="V63" s="11">
        <f t="shared" si="0"/>
        <v>1184893.1949615439</v>
      </c>
      <c r="W63" s="11">
        <f t="shared" si="1"/>
        <v>74000.378779548453</v>
      </c>
      <c r="X63" s="11">
        <f t="shared" si="2"/>
        <v>0</v>
      </c>
      <c r="Y63" s="11">
        <f t="shared" si="3"/>
        <v>0</v>
      </c>
      <c r="Z63" s="11">
        <f t="shared" si="4"/>
        <v>0</v>
      </c>
      <c r="AA63" s="11">
        <f t="shared" si="5"/>
        <v>0</v>
      </c>
      <c r="AB63" s="11">
        <f t="shared" si="6"/>
        <v>0</v>
      </c>
      <c r="AC63" s="11">
        <v>0</v>
      </c>
      <c r="AG63" s="30" t="s">
        <v>1187</v>
      </c>
      <c r="AH63" s="30">
        <v>302</v>
      </c>
      <c r="AI63" s="21">
        <f t="shared" si="13"/>
        <v>5</v>
      </c>
      <c r="AN63" s="30"/>
      <c r="AO63" s="30"/>
      <c r="AP63" s="21"/>
    </row>
    <row r="64" spans="1:42" s="11" customFormat="1" x14ac:dyDescent="0.2">
      <c r="A64" s="12" t="s">
        <v>64</v>
      </c>
      <c r="B64" s="26">
        <v>2008</v>
      </c>
      <c r="C64" s="1028">
        <v>221</v>
      </c>
      <c r="D64" s="11">
        <v>852535.77114929864</v>
      </c>
      <c r="E64" s="11">
        <v>-2522.6799999999998</v>
      </c>
      <c r="F64" s="11">
        <f>-VLOOKUP(B64,'LUMP SUM'!$B$7:'LUMP SUM'!$C$101,2,FALSE)</f>
        <v>-100000</v>
      </c>
      <c r="H64" s="11">
        <f t="shared" si="7"/>
        <v>750013.09114929859</v>
      </c>
      <c r="I64" s="11">
        <f t="shared" si="8"/>
        <v>3393.7243943407175</v>
      </c>
      <c r="J64" s="11">
        <f t="shared" si="9"/>
        <v>3342.8185284256065</v>
      </c>
      <c r="L64" s="21">
        <f>VLOOKUP(B64,AWPU!$B$7:'AWPU'!$M$102,12,FALSE)</f>
        <v>228</v>
      </c>
      <c r="M64" s="11">
        <f>VLOOKUP(B64,'2015-16 FORMULA'!$B$2:'2015-16 FORMULA'!$M$97,12,FALSE)</f>
        <v>849067.31600679364</v>
      </c>
      <c r="N64" s="11">
        <f>-VLOOKUP(B64,RATES!$D$8:'RATES'!$E$116,2,FALSE)</f>
        <v>-1972</v>
      </c>
      <c r="O64" s="11">
        <f>-VLOOKUP(B64,'LUMP SUM'!$B$7:'LUMP SUM'!$C$101,2,FALSE)</f>
        <v>-100000</v>
      </c>
      <c r="Q64" s="11">
        <f t="shared" si="10"/>
        <v>747095.31600679364</v>
      </c>
      <c r="R64" s="11">
        <f t="shared" si="11"/>
        <v>3276.7338421350596</v>
      </c>
      <c r="S64" s="817"/>
      <c r="T64" s="11">
        <f t="shared" si="12"/>
        <v>15067.308474244666</v>
      </c>
      <c r="U64" s="11" t="e">
        <v>#VALUE!</v>
      </c>
      <c r="V64" s="11">
        <f t="shared" si="0"/>
        <v>762162.62448103831</v>
      </c>
      <c r="W64" s="11">
        <f t="shared" si="1"/>
        <v>15067.308474244666</v>
      </c>
      <c r="X64" s="11">
        <f t="shared" si="2"/>
        <v>0</v>
      </c>
      <c r="Y64" s="11">
        <f t="shared" si="3"/>
        <v>0</v>
      </c>
      <c r="Z64" s="11">
        <f t="shared" si="4"/>
        <v>0</v>
      </c>
      <c r="AA64" s="11">
        <f t="shared" si="5"/>
        <v>0</v>
      </c>
      <c r="AB64" s="11">
        <f t="shared" si="6"/>
        <v>0</v>
      </c>
      <c r="AC64" s="11">
        <v>0</v>
      </c>
      <c r="AG64" s="30" t="s">
        <v>1188</v>
      </c>
      <c r="AH64" s="30">
        <v>221</v>
      </c>
      <c r="AI64" s="21">
        <f t="shared" si="13"/>
        <v>-7</v>
      </c>
      <c r="AN64" s="30"/>
      <c r="AO64" s="30"/>
      <c r="AP64" s="21"/>
    </row>
    <row r="65" spans="1:42" s="11" customFormat="1" x14ac:dyDescent="0.2">
      <c r="A65" s="9" t="s">
        <v>105</v>
      </c>
      <c r="B65" s="26">
        <v>3542</v>
      </c>
      <c r="C65" s="1028">
        <v>359</v>
      </c>
      <c r="D65" s="11">
        <v>1239410.2318677215</v>
      </c>
      <c r="E65" s="11">
        <v>-4648.95</v>
      </c>
      <c r="F65" s="11">
        <f>-VLOOKUP(B65,'LUMP SUM'!$B$7:'LUMP SUM'!$C$101,2,FALSE)</f>
        <v>-100000</v>
      </c>
      <c r="H65" s="11">
        <f t="shared" si="7"/>
        <v>1134761.2818677216</v>
      </c>
      <c r="I65" s="11">
        <f t="shared" si="8"/>
        <v>3160.8949355646841</v>
      </c>
      <c r="J65" s="11">
        <f t="shared" si="9"/>
        <v>3113.481511531214</v>
      </c>
      <c r="L65" s="21">
        <f>VLOOKUP(B65,AWPU!$B$7:'AWPU'!$M$102,12,FALSE)</f>
        <v>351</v>
      </c>
      <c r="M65" s="11">
        <f>VLOOKUP(B65,'2015-16 FORMULA'!$B$2:'2015-16 FORMULA'!$M$97,12,FALSE)</f>
        <v>1266465.0321832367</v>
      </c>
      <c r="N65" s="11">
        <f>-VLOOKUP(B65,RATES!$D$8:'RATES'!$E$116,2,FALSE)</f>
        <v>-2266.1320000000019</v>
      </c>
      <c r="O65" s="11">
        <f>-VLOOKUP(B65,'LUMP SUM'!$B$7:'LUMP SUM'!$C$101,2,FALSE)</f>
        <v>-100000</v>
      </c>
      <c r="Q65" s="11">
        <f t="shared" si="10"/>
        <v>1164198.9001832367</v>
      </c>
      <c r="R65" s="11">
        <f t="shared" si="11"/>
        <v>3316.8059834280248</v>
      </c>
      <c r="S65" s="817"/>
      <c r="T65" s="11">
        <f t="shared" si="12"/>
        <v>0</v>
      </c>
      <c r="U65" s="11" t="e">
        <v>#VALUE!</v>
      </c>
      <c r="V65" s="11">
        <f t="shared" si="0"/>
        <v>1092832.0105474561</v>
      </c>
      <c r="W65" s="11">
        <f t="shared" si="1"/>
        <v>0</v>
      </c>
      <c r="X65" s="11">
        <f t="shared" si="2"/>
        <v>-71366.889635780593</v>
      </c>
      <c r="Y65" s="11">
        <f t="shared" si="3"/>
        <v>-71010.055187601683</v>
      </c>
      <c r="Z65" s="11">
        <f t="shared" si="4"/>
        <v>-70653.220739422788</v>
      </c>
      <c r="AA65" s="11">
        <f t="shared" si="5"/>
        <v>-70296.386291243878</v>
      </c>
      <c r="AB65" s="11">
        <f t="shared" si="6"/>
        <v>-69939.551843064983</v>
      </c>
      <c r="AC65" s="11">
        <v>0</v>
      </c>
      <c r="AG65" s="30" t="s">
        <v>1190</v>
      </c>
      <c r="AH65" s="30">
        <v>359</v>
      </c>
      <c r="AI65" s="21">
        <f t="shared" si="13"/>
        <v>8</v>
      </c>
      <c r="AN65" s="30"/>
      <c r="AO65" s="30"/>
      <c r="AP65" s="21"/>
    </row>
    <row r="66" spans="1:42" s="11" customFormat="1" x14ac:dyDescent="0.2">
      <c r="A66" s="9" t="s">
        <v>106</v>
      </c>
      <c r="B66" s="26">
        <v>3528</v>
      </c>
      <c r="C66" s="1028">
        <v>352</v>
      </c>
      <c r="D66" s="11">
        <v>1173832.0994140229</v>
      </c>
      <c r="E66" s="11">
        <v>-8337.7799999999988</v>
      </c>
      <c r="F66" s="11">
        <f>-VLOOKUP(B66,'LUMP SUM'!$B$7:'LUMP SUM'!$C$101,2,FALSE)</f>
        <v>-100000</v>
      </c>
      <c r="H66" s="11">
        <f t="shared" si="7"/>
        <v>1065494.3194140228</v>
      </c>
      <c r="I66" s="11">
        <f t="shared" si="8"/>
        <v>3026.9724983352921</v>
      </c>
      <c r="J66" s="11">
        <f t="shared" si="9"/>
        <v>2981.5679108602626</v>
      </c>
      <c r="L66" s="21">
        <f>VLOOKUP(B66,AWPU!$B$7:'AWPU'!$M$102,12,FALSE)</f>
        <v>347</v>
      </c>
      <c r="M66" s="11">
        <f>VLOOKUP(B66,'2015-16 FORMULA'!$B$2:'2015-16 FORMULA'!$M$97,12,FALSE)</f>
        <v>1243528.5089631202</v>
      </c>
      <c r="N66" s="11">
        <f>-VLOOKUP(B66,RATES!$D$8:'RATES'!$E$116,2,FALSE)</f>
        <v>-4153.7399999999989</v>
      </c>
      <c r="O66" s="11">
        <f>-VLOOKUP(B66,'LUMP SUM'!$B$7:'LUMP SUM'!$C$101,2,FALSE)</f>
        <v>-100000</v>
      </c>
      <c r="Q66" s="11">
        <f t="shared" si="10"/>
        <v>1139374.7689631202</v>
      </c>
      <c r="R66" s="11">
        <f t="shared" si="11"/>
        <v>3283.5007751098565</v>
      </c>
      <c r="S66" s="817"/>
      <c r="T66" s="11">
        <f t="shared" si="12"/>
        <v>0</v>
      </c>
      <c r="U66" s="11" t="e">
        <v>#VALUE!</v>
      </c>
      <c r="V66" s="11">
        <f t="shared" ref="V66:V71" si="15">J66*L66</f>
        <v>1034604.0650685112</v>
      </c>
      <c r="W66" s="11">
        <f t="shared" ref="W66:W71" si="16">IF(V66&lt;Q66,0,V66-Q66)</f>
        <v>0</v>
      </c>
      <c r="X66" s="11">
        <f t="shared" ref="X66:X71" si="17">-IF(V66&lt;Q66,Q66-V66,0)</f>
        <v>-104770.703894609</v>
      </c>
      <c r="Y66" s="11">
        <f t="shared" ref="Y66:Y71" si="18">-IF(V66&lt;Q66,(Q66-V66)/100*99.5,0)</f>
        <v>-104246.85037513595</v>
      </c>
      <c r="Z66" s="11">
        <f t="shared" ref="Z66:Z71" si="19">-IF(V66&lt;Q66,(Q66-V66)/100*99,0)</f>
        <v>-103722.99685566292</v>
      </c>
      <c r="AA66" s="11">
        <f t="shared" ref="AA66:AA71" si="20">-IF(V66&lt;Q66,(Q66-V66)/100*98.5,0)</f>
        <v>-103199.14333618987</v>
      </c>
      <c r="AB66" s="11">
        <f t="shared" ref="AB66:AB71" si="21">-IF(V66&lt;Q66,(Q66-V66)/100*98,0)</f>
        <v>-102675.28981671683</v>
      </c>
      <c r="AC66" s="11">
        <v>0</v>
      </c>
      <c r="AD66" s="11">
        <f t="shared" si="14"/>
        <v>73880.449549097335</v>
      </c>
      <c r="AG66" s="30" t="s">
        <v>1191</v>
      </c>
      <c r="AH66" s="30">
        <v>352</v>
      </c>
      <c r="AI66" s="21">
        <f t="shared" si="13"/>
        <v>5</v>
      </c>
      <c r="AN66" s="30"/>
      <c r="AO66" s="30"/>
      <c r="AP66" s="21"/>
    </row>
    <row r="67" spans="1:42" s="11" customFormat="1" x14ac:dyDescent="0.2">
      <c r="A67" s="9" t="s">
        <v>107</v>
      </c>
      <c r="B67" s="26">
        <v>3534</v>
      </c>
      <c r="C67" s="1028">
        <v>239</v>
      </c>
      <c r="D67" s="11">
        <v>775988.29871116835</v>
      </c>
      <c r="E67" s="11">
        <v>-2804.52</v>
      </c>
      <c r="F67" s="11">
        <f>-VLOOKUP(B67,'LUMP SUM'!$B$7:'LUMP SUM'!$C$101,2,FALSE)</f>
        <v>-100000</v>
      </c>
      <c r="H67" s="11">
        <f t="shared" ref="H67:H71" si="22">SUM(D67:G67)</f>
        <v>673183.77871116833</v>
      </c>
      <c r="I67" s="11">
        <f t="shared" ref="I67:I71" si="23">SUM(H67/C67)</f>
        <v>2816.6685301722523</v>
      </c>
      <c r="J67" s="11">
        <f t="shared" ref="J67:J71" si="24">SUM(I67*0.985)</f>
        <v>2774.4185022196684</v>
      </c>
      <c r="L67" s="21">
        <f>VLOOKUP(B67,AWPU!$B$7:'AWPU'!$M$102,12,FALSE)</f>
        <v>244</v>
      </c>
      <c r="M67" s="11">
        <f>VLOOKUP(B67,'2015-16 FORMULA'!$B$2:'2015-16 FORMULA'!$M$97,12,FALSE)</f>
        <v>791299.78160170978</v>
      </c>
      <c r="N67" s="11">
        <f>-VLOOKUP(B67,RATES!$D$8:'RATES'!$E$116,2,FALSE)</f>
        <v>-1042.0380000000011</v>
      </c>
      <c r="O67" s="11">
        <f>-VLOOKUP(B67,'LUMP SUM'!$B$7:'LUMP SUM'!$C$101,2,FALSE)</f>
        <v>-100000</v>
      </c>
      <c r="Q67" s="11">
        <f t="shared" ref="Q67:Q71" si="25">SUM(M67:P67)</f>
        <v>690257.74360170972</v>
      </c>
      <c r="R67" s="11">
        <f t="shared" ref="R67:R71" si="26">SUM(Q67/L67)</f>
        <v>2828.9251786955315</v>
      </c>
      <c r="S67" s="817"/>
      <c r="T67" s="11">
        <f t="shared" ref="T67:T71" si="27">W67+AC67</f>
        <v>0</v>
      </c>
      <c r="U67" s="11" t="e">
        <v>#VALUE!</v>
      </c>
      <c r="V67" s="11">
        <f t="shared" si="15"/>
        <v>676958.11454159906</v>
      </c>
      <c r="W67" s="11">
        <f t="shared" si="16"/>
        <v>0</v>
      </c>
      <c r="X67" s="11">
        <f t="shared" si="17"/>
        <v>-13299.629060110659</v>
      </c>
      <c r="Y67" s="11">
        <f t="shared" si="18"/>
        <v>-13233.130914810105</v>
      </c>
      <c r="Z67" s="11">
        <f t="shared" si="19"/>
        <v>-13166.632769509552</v>
      </c>
      <c r="AA67" s="11">
        <f t="shared" si="20"/>
        <v>-13100.134624208999</v>
      </c>
      <c r="AB67" s="11">
        <f t="shared" si="21"/>
        <v>-13033.636478908445</v>
      </c>
      <c r="AC67" s="11">
        <v>0</v>
      </c>
      <c r="AG67" s="30" t="s">
        <v>1192</v>
      </c>
      <c r="AH67" s="30">
        <v>239</v>
      </c>
      <c r="AI67" s="21">
        <f t="shared" ref="AI67:AI89" si="28">AH67-L67</f>
        <v>-5</v>
      </c>
      <c r="AN67" s="30"/>
      <c r="AO67" s="30"/>
      <c r="AP67" s="21"/>
    </row>
    <row r="68" spans="1:42" s="11" customFormat="1" x14ac:dyDescent="0.2">
      <c r="A68" s="9" t="s">
        <v>108</v>
      </c>
      <c r="B68" s="26">
        <v>3532</v>
      </c>
      <c r="C68" s="1028">
        <v>303</v>
      </c>
      <c r="D68" s="11">
        <v>914718.24485890404</v>
      </c>
      <c r="E68" s="11">
        <v>-4320.4800000000005</v>
      </c>
      <c r="F68" s="11">
        <f>-VLOOKUP(B68,'LUMP SUM'!$B$7:'LUMP SUM'!$C$101,2,FALSE)</f>
        <v>-100000</v>
      </c>
      <c r="H68" s="11">
        <f t="shared" si="22"/>
        <v>810397.76485890406</v>
      </c>
      <c r="I68" s="11">
        <f t="shared" si="23"/>
        <v>2674.5800820425875</v>
      </c>
      <c r="J68" s="11">
        <f t="shared" si="24"/>
        <v>2634.4613808119489</v>
      </c>
      <c r="L68" s="21">
        <f>VLOOKUP(B68,AWPU!$B$7:'AWPU'!$M$102,12,FALSE)</f>
        <v>310</v>
      </c>
      <c r="M68" s="11">
        <f>VLOOKUP(B68,'2015-16 FORMULA'!$B$2:'2015-16 FORMULA'!$M$97,12,FALSE)</f>
        <v>936380.66188515874</v>
      </c>
      <c r="N68" s="11">
        <f>-VLOOKUP(B68,RATES!$D$8:'RATES'!$E$116,2,FALSE)</f>
        <v>-233.01800000000185</v>
      </c>
      <c r="O68" s="11">
        <f>-VLOOKUP(B68,'LUMP SUM'!$B$7:'LUMP SUM'!$C$101,2,FALSE)</f>
        <v>-100000</v>
      </c>
      <c r="Q68" s="11">
        <f t="shared" si="25"/>
        <v>836147.6438851587</v>
      </c>
      <c r="R68" s="11">
        <f t="shared" si="26"/>
        <v>2697.250464145673</v>
      </c>
      <c r="S68" s="817"/>
      <c r="T68" s="11">
        <f t="shared" si="27"/>
        <v>0</v>
      </c>
      <c r="U68" s="11" t="e">
        <v>#VALUE!</v>
      </c>
      <c r="V68" s="11">
        <f t="shared" si="15"/>
        <v>816683.02805170417</v>
      </c>
      <c r="W68" s="11">
        <f t="shared" si="16"/>
        <v>0</v>
      </c>
      <c r="X68" s="11">
        <f t="shared" si="17"/>
        <v>-19464.615833454533</v>
      </c>
      <c r="Y68" s="11">
        <f t="shared" si="18"/>
        <v>-19367.29275428726</v>
      </c>
      <c r="Z68" s="11">
        <f t="shared" si="19"/>
        <v>-19269.969675119988</v>
      </c>
      <c r="AA68" s="11">
        <f t="shared" si="20"/>
        <v>-19172.646595952716</v>
      </c>
      <c r="AB68" s="11">
        <f t="shared" si="21"/>
        <v>-19075.323516785444</v>
      </c>
      <c r="AC68" s="11">
        <v>0</v>
      </c>
      <c r="AG68" s="30" t="s">
        <v>1193</v>
      </c>
      <c r="AH68" s="30">
        <v>303</v>
      </c>
      <c r="AI68" s="21">
        <f t="shared" si="28"/>
        <v>-7</v>
      </c>
      <c r="AN68" s="30"/>
      <c r="AO68" s="30"/>
      <c r="AP68" s="21"/>
    </row>
    <row r="69" spans="1:42" s="11" customFormat="1" x14ac:dyDescent="0.2">
      <c r="A69" s="9" t="s">
        <v>65</v>
      </c>
      <c r="B69" s="26">
        <v>3546</v>
      </c>
      <c r="C69" s="1028">
        <v>533</v>
      </c>
      <c r="D69" s="11">
        <v>2335610.6847822182</v>
      </c>
      <c r="E69" s="11">
        <v>-143685.62</v>
      </c>
      <c r="F69" s="11">
        <f>-VLOOKUP(B69,'LUMP SUM'!$B$7:'LUMP SUM'!$C$101,2,FALSE)</f>
        <v>-100000</v>
      </c>
      <c r="H69" s="11">
        <f t="shared" si="22"/>
        <v>2091925.0647822181</v>
      </c>
      <c r="I69" s="11">
        <f t="shared" si="23"/>
        <v>3924.8125042818351</v>
      </c>
      <c r="J69" s="11">
        <f t="shared" si="24"/>
        <v>3865.9403167176074</v>
      </c>
      <c r="L69" s="21">
        <f>VLOOKUP(B69,AWPU!$B$7:'AWPU'!$M$102,12,FALSE)</f>
        <v>546</v>
      </c>
      <c r="M69" s="11">
        <f>VLOOKUP(B69,'2015-16 FORMULA'!$B$2:'2015-16 FORMULA'!$M$97,12,FALSE)</f>
        <v>2085513.512510329</v>
      </c>
      <c r="N69" s="11">
        <f>-VLOOKUP(B69,RATES!$D$8:'RATES'!$E$116,2,FALSE)</f>
        <v>24974.98000000001</v>
      </c>
      <c r="O69" s="11">
        <f>-VLOOKUP(B69,'LUMP SUM'!$B$7:'LUMP SUM'!$C$101,2,FALSE)</f>
        <v>-100000</v>
      </c>
      <c r="Q69" s="11">
        <f t="shared" si="25"/>
        <v>2010488.492510329</v>
      </c>
      <c r="R69" s="11">
        <f t="shared" si="26"/>
        <v>3682.213356246024</v>
      </c>
      <c r="S69" s="817"/>
      <c r="T69" s="11">
        <f t="shared" si="27"/>
        <v>100314.92041748483</v>
      </c>
      <c r="U69" s="11" t="e">
        <v>#VALUE!</v>
      </c>
      <c r="V69" s="11">
        <f t="shared" si="15"/>
        <v>2110803.4129278138</v>
      </c>
      <c r="W69" s="11">
        <f t="shared" si="16"/>
        <v>100314.92041748483</v>
      </c>
      <c r="X69" s="11">
        <f t="shared" si="17"/>
        <v>0</v>
      </c>
      <c r="Y69" s="11">
        <f t="shared" si="18"/>
        <v>0</v>
      </c>
      <c r="Z69" s="11">
        <f t="shared" si="19"/>
        <v>0</v>
      </c>
      <c r="AA69" s="11">
        <f t="shared" si="20"/>
        <v>0</v>
      </c>
      <c r="AB69" s="11">
        <f t="shared" si="21"/>
        <v>0</v>
      </c>
      <c r="AC69" s="11">
        <v>0</v>
      </c>
      <c r="AG69" s="30" t="s">
        <v>1195</v>
      </c>
      <c r="AH69" s="30">
        <v>533</v>
      </c>
      <c r="AI69" s="21">
        <f t="shared" si="28"/>
        <v>-13</v>
      </c>
      <c r="AN69" s="30"/>
      <c r="AO69" s="30"/>
      <c r="AP69" s="21"/>
    </row>
    <row r="70" spans="1:42" s="11" customFormat="1" x14ac:dyDescent="0.2">
      <c r="A70" s="9" t="s">
        <v>109</v>
      </c>
      <c r="B70" s="26">
        <v>3530</v>
      </c>
      <c r="C70" s="1028">
        <v>311</v>
      </c>
      <c r="D70" s="11">
        <v>892877.72502456128</v>
      </c>
      <c r="E70" s="11">
        <v>-2754</v>
      </c>
      <c r="F70" s="11">
        <f>-VLOOKUP(B70,'LUMP SUM'!$B$7:'LUMP SUM'!$C$101,2,FALSE)</f>
        <v>-100000</v>
      </c>
      <c r="H70" s="11">
        <f t="shared" si="22"/>
        <v>790123.72502456128</v>
      </c>
      <c r="I70" s="11">
        <f t="shared" si="23"/>
        <v>2540.590755705985</v>
      </c>
      <c r="J70" s="11">
        <f t="shared" si="24"/>
        <v>2502.4818943703954</v>
      </c>
      <c r="L70" s="21">
        <f>VLOOKUP(B70,AWPU!$B$7:'AWPU'!$M$102,12,FALSE)</f>
        <v>317</v>
      </c>
      <c r="M70" s="11">
        <f>VLOOKUP(B70,'2015-16 FORMULA'!$B$2:'2015-16 FORMULA'!$M$97,12,FALSE)</f>
        <v>937894.54145797063</v>
      </c>
      <c r="N70" s="11">
        <f>-VLOOKUP(B70,RATES!$D$8:'RATES'!$E$116,2,FALSE)</f>
        <v>-855.97200000000089</v>
      </c>
      <c r="O70" s="11">
        <f>-VLOOKUP(B70,'LUMP SUM'!$B$7:'LUMP SUM'!$C$101,2,FALSE)</f>
        <v>-100000</v>
      </c>
      <c r="Q70" s="11">
        <f t="shared" si="25"/>
        <v>837038.56945797068</v>
      </c>
      <c r="R70" s="11">
        <f t="shared" si="26"/>
        <v>2640.5002191103176</v>
      </c>
      <c r="S70" s="817"/>
      <c r="T70" s="11">
        <f t="shared" si="27"/>
        <v>0</v>
      </c>
      <c r="U70" s="11" t="e">
        <v>#VALUE!</v>
      </c>
      <c r="V70" s="11">
        <f t="shared" si="15"/>
        <v>793286.76051541534</v>
      </c>
      <c r="W70" s="11">
        <f t="shared" si="16"/>
        <v>0</v>
      </c>
      <c r="X70" s="11">
        <f t="shared" si="17"/>
        <v>-43751.808942555333</v>
      </c>
      <c r="Y70" s="11">
        <f t="shared" si="18"/>
        <v>-43533.04989784256</v>
      </c>
      <c r="Z70" s="11">
        <f t="shared" si="19"/>
        <v>-43314.29085312978</v>
      </c>
      <c r="AA70" s="11">
        <f t="shared" si="20"/>
        <v>-43095.531808417007</v>
      </c>
      <c r="AB70" s="11">
        <f t="shared" si="21"/>
        <v>-42876.772763704226</v>
      </c>
      <c r="AC70" s="11">
        <v>0</v>
      </c>
      <c r="AG70" s="30" t="s">
        <v>1198</v>
      </c>
      <c r="AH70" s="30">
        <v>311</v>
      </c>
      <c r="AI70" s="21">
        <f t="shared" si="28"/>
        <v>-6</v>
      </c>
      <c r="AN70" s="30"/>
      <c r="AO70" s="30"/>
      <c r="AP70" s="21"/>
    </row>
    <row r="71" spans="1:42" s="11" customFormat="1" x14ac:dyDescent="0.2">
      <c r="A71" s="9" t="s">
        <v>67</v>
      </c>
      <c r="B71" s="26">
        <v>2459</v>
      </c>
      <c r="C71" s="1028">
        <v>387</v>
      </c>
      <c r="D71" s="11">
        <v>1137529.6234121018</v>
      </c>
      <c r="E71" s="11">
        <v>-15262.38</v>
      </c>
      <c r="F71" s="11">
        <f>-VLOOKUP(B71,'LUMP SUM'!$B$7:'LUMP SUM'!$C$101,2,FALSE)</f>
        <v>-100000</v>
      </c>
      <c r="H71" s="11">
        <f t="shared" si="22"/>
        <v>1022267.2434121019</v>
      </c>
      <c r="I71" s="11">
        <f t="shared" si="23"/>
        <v>2641.5174248374724</v>
      </c>
      <c r="J71" s="11">
        <f t="shared" si="24"/>
        <v>2601.8946634649101</v>
      </c>
      <c r="L71" s="21">
        <f>VLOOKUP(B71,AWPU!$B$7:'AWPU'!$M$102,12,FALSE)</f>
        <v>390</v>
      </c>
      <c r="M71" s="11">
        <f>VLOOKUP(B71,'2015-16 FORMULA'!$B$2:'2015-16 FORMULA'!$M$97,12,FALSE)</f>
        <v>1153371.0923493076</v>
      </c>
      <c r="N71" s="11">
        <f>-VLOOKUP(B71,RATES!$D$8:'RATES'!$E$116,2,FALSE)</f>
        <v>-1014.8200000000015</v>
      </c>
      <c r="O71" s="11">
        <f>-VLOOKUP(B71,'LUMP SUM'!$B$7:'LUMP SUM'!$C$101,2,FALSE)</f>
        <v>-100000</v>
      </c>
      <c r="Q71" s="11">
        <f t="shared" si="25"/>
        <v>1052356.2723493075</v>
      </c>
      <c r="R71" s="11">
        <f t="shared" si="26"/>
        <v>2698.3494162802758</v>
      </c>
      <c r="S71" s="817"/>
      <c r="T71" s="11">
        <f t="shared" si="27"/>
        <v>0</v>
      </c>
      <c r="U71" s="11" t="e">
        <v>#VALUE!</v>
      </c>
      <c r="V71" s="11">
        <f t="shared" si="15"/>
        <v>1014738.918751315</v>
      </c>
      <c r="W71" s="11">
        <f t="shared" si="16"/>
        <v>0</v>
      </c>
      <c r="X71" s="11">
        <f t="shared" si="17"/>
        <v>-37617.353597992565</v>
      </c>
      <c r="Y71" s="11">
        <f t="shared" si="18"/>
        <v>-37429.266830002605</v>
      </c>
      <c r="Z71" s="11">
        <f t="shared" si="19"/>
        <v>-37241.180062012638</v>
      </c>
      <c r="AA71" s="11">
        <f t="shared" si="20"/>
        <v>-37053.093294022678</v>
      </c>
      <c r="AB71" s="11">
        <f t="shared" si="21"/>
        <v>-36865.00652603271</v>
      </c>
      <c r="AC71" s="11">
        <v>0</v>
      </c>
      <c r="AG71" s="30" t="s">
        <v>1199</v>
      </c>
      <c r="AH71" s="30">
        <v>387</v>
      </c>
      <c r="AI71" s="21">
        <f t="shared" si="28"/>
        <v>-3</v>
      </c>
      <c r="AN71" s="30"/>
      <c r="AO71" s="30"/>
      <c r="AP71" s="21"/>
    </row>
    <row r="72" spans="1:42" s="11" customFormat="1" x14ac:dyDescent="0.2">
      <c r="A72" s="9" t="s">
        <v>912</v>
      </c>
      <c r="B72" s="10">
        <v>4000</v>
      </c>
      <c r="C72" s="1075">
        <v>200</v>
      </c>
      <c r="D72" s="1076"/>
      <c r="E72" s="1076"/>
      <c r="F72" s="1076"/>
      <c r="G72" s="1076"/>
      <c r="H72" s="1076"/>
      <c r="I72" s="1076"/>
      <c r="J72" s="1076"/>
      <c r="L72" s="1075">
        <v>200</v>
      </c>
      <c r="M72" s="1076"/>
      <c r="N72" s="1076"/>
      <c r="O72" s="1076"/>
      <c r="P72" s="1076"/>
      <c r="Q72" s="1076"/>
      <c r="R72" s="1076"/>
      <c r="S72" s="817"/>
      <c r="T72" s="1076"/>
      <c r="U72" s="11" t="e">
        <v>#VALUE!</v>
      </c>
      <c r="V72" s="1076"/>
      <c r="W72" s="1076"/>
      <c r="X72" s="1076"/>
      <c r="Y72" s="1076"/>
      <c r="Z72" s="1076"/>
      <c r="AA72" s="1076"/>
      <c r="AB72" s="1076"/>
      <c r="AC72" s="1076"/>
      <c r="AD72" s="1076"/>
      <c r="AE72" s="11" t="s">
        <v>1259</v>
      </c>
      <c r="AG72" s="30" t="s">
        <v>1201</v>
      </c>
      <c r="AH72" s="1077">
        <v>200</v>
      </c>
      <c r="AI72" s="21">
        <f t="shared" si="28"/>
        <v>0</v>
      </c>
      <c r="AN72" s="30"/>
      <c r="AO72" s="30"/>
      <c r="AP72" s="21"/>
    </row>
    <row r="73" spans="1:42" s="11" customFormat="1" x14ac:dyDescent="0.2">
      <c r="A73" s="9"/>
      <c r="B73" s="26"/>
      <c r="C73" s="1028"/>
      <c r="L73" s="21"/>
      <c r="AG73" s="30"/>
      <c r="AH73" s="30"/>
      <c r="AI73" s="21"/>
      <c r="AN73" s="30"/>
    </row>
    <row r="74" spans="1:42" s="11" customFormat="1" x14ac:dyDescent="0.2">
      <c r="A74" s="1" t="s">
        <v>110</v>
      </c>
      <c r="B74" s="24" t="s">
        <v>110</v>
      </c>
      <c r="C74" s="1078">
        <f>SUM(C2:C72)</f>
        <v>21199</v>
      </c>
      <c r="D74" s="29">
        <f t="shared" ref="D74:L74" si="29">SUM(D2:D73)</f>
        <v>77979460.439716801</v>
      </c>
      <c r="E74" s="29">
        <f t="shared" si="29"/>
        <v>-1282074.31</v>
      </c>
      <c r="F74" s="29">
        <f t="shared" si="29"/>
        <v>-7070000</v>
      </c>
      <c r="G74" s="29">
        <f t="shared" si="29"/>
        <v>0</v>
      </c>
      <c r="H74" s="29">
        <f t="shared" si="29"/>
        <v>69627386.129716799</v>
      </c>
      <c r="I74" s="29">
        <f t="shared" si="29"/>
        <v>232580.34199941508</v>
      </c>
      <c r="J74" s="29">
        <f t="shared" si="29"/>
        <v>229091.63686942382</v>
      </c>
      <c r="K74" s="29"/>
      <c r="L74" s="1031">
        <f t="shared" si="29"/>
        <v>21856</v>
      </c>
      <c r="M74" s="29">
        <f>SUM(M2:M71)</f>
        <v>78818056.480413109</v>
      </c>
      <c r="N74" s="29">
        <f>SUM(N2:N73)</f>
        <v>-250949.97303999987</v>
      </c>
      <c r="O74" s="29">
        <f>SUM(O2:O73)</f>
        <v>-7000000</v>
      </c>
      <c r="P74" s="29">
        <f>SUM(P2:P73)</f>
        <v>0</v>
      </c>
      <c r="Q74" s="29">
        <f>SUM(Q2:Q73)</f>
        <v>71567106.507373109</v>
      </c>
      <c r="R74" s="29">
        <f>SUM(R2:R73)</f>
        <v>231882.08319535883</v>
      </c>
      <c r="S74" s="29"/>
      <c r="T74" s="29">
        <f t="shared" ref="T74:AD74" si="30">SUM(T2:T73)</f>
        <v>1068237.2130873241</v>
      </c>
      <c r="V74" s="29">
        <f t="shared" si="30"/>
        <v>70794629.361044526</v>
      </c>
      <c r="W74" s="29">
        <f t="shared" si="30"/>
        <v>1068237.2130873241</v>
      </c>
      <c r="X74" s="29">
        <f t="shared" si="30"/>
        <v>-1840714.3594159032</v>
      </c>
      <c r="Y74" s="29">
        <f t="shared" si="30"/>
        <v>-1831510.787618824</v>
      </c>
      <c r="Z74" s="29">
        <f t="shared" si="30"/>
        <v>-1822307.2158217442</v>
      </c>
      <c r="AA74" s="29">
        <f t="shared" si="30"/>
        <v>-1813103.644024665</v>
      </c>
      <c r="AB74" s="29">
        <f t="shared" si="30"/>
        <v>-1803900.0722275856</v>
      </c>
      <c r="AC74" s="29">
        <f t="shared" si="30"/>
        <v>0</v>
      </c>
      <c r="AD74" s="29">
        <f t="shared" si="30"/>
        <v>330520.76442070672</v>
      </c>
      <c r="AG74" s="30"/>
      <c r="AH74" s="30"/>
      <c r="AI74" s="21"/>
      <c r="AN74" s="30"/>
    </row>
    <row r="75" spans="1:42" s="11" customFormat="1" x14ac:dyDescent="0.2">
      <c r="A75" s="9"/>
      <c r="B75" s="26"/>
      <c r="C75" s="1028"/>
      <c r="L75" s="21"/>
      <c r="AG75" s="30"/>
      <c r="AH75" s="30"/>
      <c r="AI75" s="21"/>
      <c r="AN75" s="30"/>
    </row>
    <row r="76" spans="1:42" s="11" customFormat="1" x14ac:dyDescent="0.2">
      <c r="A76" s="9" t="s">
        <v>75</v>
      </c>
      <c r="B76" s="26">
        <v>5402</v>
      </c>
      <c r="C76" s="1028">
        <v>1333</v>
      </c>
      <c r="D76" s="11">
        <v>5444733.2245729789</v>
      </c>
      <c r="E76" s="11">
        <v>-38963.479999999996</v>
      </c>
      <c r="F76" s="11">
        <f>-VLOOKUP(B76,'LUMP SUM'!$B$7:'LUMP SUM'!$C$101,2,FALSE)</f>
        <v>-150000</v>
      </c>
      <c r="H76" s="11">
        <f t="shared" ref="H76:H87" si="31">SUM(D76:G76)</f>
        <v>5255769.7445729785</v>
      </c>
      <c r="I76" s="11">
        <f t="shared" ref="I76:I87" si="32">SUM(H76/C76)</f>
        <v>3942.8130116826546</v>
      </c>
      <c r="J76" s="11">
        <f t="shared" ref="J76:J87" si="33">SUM(I76*0.985)</f>
        <v>3883.6708165074147</v>
      </c>
      <c r="L76" s="21">
        <f>VLOOKUP(B76,AWPU!$B$7:'AWPU'!$M$102,12,FALSE)</f>
        <v>1326</v>
      </c>
      <c r="M76" s="11">
        <f>VLOOKUP(B76,'2015-16 FORMULA'!$B$2:'2015-16 FORMULA'!$M$97,12,FALSE)</f>
        <v>5581026.966836025</v>
      </c>
      <c r="N76" s="11">
        <f>-VLOOKUP(B76,RATES!$D$8:'RATES'!$E$116,2,FALSE)</f>
        <v>-39440</v>
      </c>
      <c r="O76" s="11">
        <f>-VLOOKUP(B76,'LUMP SUM'!$B$7:'LUMP SUM'!$C$101,2,FALSE)</f>
        <v>-150000</v>
      </c>
      <c r="Q76" s="11">
        <f t="shared" ref="Q76:Q87" si="34">SUM(M76:P76)</f>
        <v>5391586.966836025</v>
      </c>
      <c r="R76" s="11">
        <f t="shared" ref="R76:R87" si="35">SUM(Q76/L76)</f>
        <v>4066.0535194841818</v>
      </c>
      <c r="S76" s="817"/>
      <c r="T76" s="11">
        <f t="shared" ref="T76:T87" si="36">W76+AC76</f>
        <v>0</v>
      </c>
      <c r="V76" s="11">
        <f t="shared" ref="V76:V87" si="37">J76*L76</f>
        <v>5149747.5026888316</v>
      </c>
      <c r="W76" s="11">
        <f t="shared" ref="W76:W87" si="38">IF(V76&lt;Q76,0,V76-Q76)</f>
        <v>0</v>
      </c>
      <c r="X76" s="11">
        <f t="shared" ref="X76:X87" si="39">-IF(V76&lt;Q76,Q76-V76,0)</f>
        <v>-241839.46414719336</v>
      </c>
      <c r="Y76" s="11">
        <f t="shared" ref="Y76:Y87" si="40">-IF(V76&lt;Q76,(Q76-V76)/100*99.5,0)</f>
        <v>-240630.26682645737</v>
      </c>
      <c r="Z76" s="11">
        <f t="shared" ref="Z76:Z87" si="41">-IF(V76&lt;Q76,(Q76-V76)/100*99,0)</f>
        <v>-239421.06950572142</v>
      </c>
      <c r="AA76" s="11">
        <f t="shared" ref="AA76:AA87" si="42">-IF(V76&lt;Q76,(Q76-V76)/100*98.5,0)</f>
        <v>-238211.87218498543</v>
      </c>
      <c r="AB76" s="11">
        <f t="shared" ref="AB76:AB87" si="43">-IF(V76&lt;Q76,(Q76-V76)/100*98,0)</f>
        <v>-237002.67486424948</v>
      </c>
      <c r="AC76" s="11">
        <v>0</v>
      </c>
      <c r="AG76" s="30" t="s">
        <v>1205</v>
      </c>
      <c r="AH76" s="30">
        <v>1333</v>
      </c>
      <c r="AI76" s="21">
        <f t="shared" si="28"/>
        <v>7</v>
      </c>
      <c r="AN76" s="30"/>
      <c r="AO76" s="30"/>
      <c r="AP76" s="21"/>
    </row>
    <row r="77" spans="1:42" s="11" customFormat="1" x14ac:dyDescent="0.2">
      <c r="A77" s="9" t="s">
        <v>68</v>
      </c>
      <c r="B77" s="26">
        <v>4608</v>
      </c>
      <c r="C77" s="1028">
        <v>558</v>
      </c>
      <c r="D77" s="11">
        <v>3162037.0900282934</v>
      </c>
      <c r="E77" s="11">
        <v>-27539.94</v>
      </c>
      <c r="F77" s="11">
        <f>-VLOOKUP(B77,'LUMP SUM'!$B$7:'LUMP SUM'!$C$101,2,FALSE)</f>
        <v>-150000</v>
      </c>
      <c r="H77" s="11">
        <f t="shared" si="31"/>
        <v>2984497.1500282935</v>
      </c>
      <c r="I77" s="11">
        <f t="shared" si="32"/>
        <v>5348.5612007675509</v>
      </c>
      <c r="J77" s="11">
        <f t="shared" si="33"/>
        <v>5268.3327827560379</v>
      </c>
      <c r="L77" s="21">
        <f>VLOOKUP(B77,AWPU!$B$7:'AWPU'!$M$102,12,FALSE)</f>
        <v>554</v>
      </c>
      <c r="M77" s="11">
        <f>VLOOKUP(B77,'2015-16 FORMULA'!$B$2:'2015-16 FORMULA'!$M$97,12,FALSE)</f>
        <v>2932580.1670466866</v>
      </c>
      <c r="N77" s="11">
        <f>-VLOOKUP(B77,RATES!$D$8:'RATES'!$E$116,2,FALSE)</f>
        <v>-20538.45</v>
      </c>
      <c r="O77" s="11">
        <f>-VLOOKUP(B77,'LUMP SUM'!$B$7:'LUMP SUM'!$C$101,2,FALSE)</f>
        <v>-150000</v>
      </c>
      <c r="Q77" s="11">
        <f t="shared" si="34"/>
        <v>2762041.7170466864</v>
      </c>
      <c r="R77" s="11">
        <f t="shared" si="35"/>
        <v>4985.6348683153183</v>
      </c>
      <c r="S77" s="817"/>
      <c r="T77" s="11">
        <f t="shared" si="36"/>
        <v>156614.64460015856</v>
      </c>
      <c r="U77" s="11" t="e">
        <v>#VALUE!</v>
      </c>
      <c r="V77" s="11">
        <f t="shared" si="37"/>
        <v>2918656.361646845</v>
      </c>
      <c r="W77" s="11">
        <f t="shared" si="38"/>
        <v>156614.64460015856</v>
      </c>
      <c r="X77" s="11">
        <f t="shared" si="39"/>
        <v>0</v>
      </c>
      <c r="Y77" s="11">
        <f t="shared" si="40"/>
        <v>0</v>
      </c>
      <c r="Z77" s="11">
        <f t="shared" si="41"/>
        <v>0</v>
      </c>
      <c r="AA77" s="11">
        <f t="shared" si="42"/>
        <v>0</v>
      </c>
      <c r="AB77" s="11">
        <f t="shared" si="43"/>
        <v>0</v>
      </c>
      <c r="AC77" s="11">
        <v>0</v>
      </c>
      <c r="AG77" s="30" t="s">
        <v>1207</v>
      </c>
      <c r="AH77" s="30">
        <v>558</v>
      </c>
      <c r="AI77" s="21">
        <f t="shared" si="28"/>
        <v>4</v>
      </c>
      <c r="AN77" s="30"/>
      <c r="AO77" s="30"/>
      <c r="AP77" s="21"/>
    </row>
    <row r="78" spans="1:42" s="11" customFormat="1" x14ac:dyDescent="0.2">
      <c r="A78" s="9" t="s">
        <v>111</v>
      </c>
      <c r="B78" s="26">
        <v>4178</v>
      </c>
      <c r="C78" s="1028">
        <v>1308</v>
      </c>
      <c r="D78" s="11">
        <v>6320243.9781370033</v>
      </c>
      <c r="E78" s="11">
        <v>-26024.48</v>
      </c>
      <c r="F78" s="11">
        <f>-VLOOKUP(B78,'LUMP SUM'!$B$7:'LUMP SUM'!$C$101,2,FALSE)</f>
        <v>-150000</v>
      </c>
      <c r="H78" s="11">
        <f t="shared" si="31"/>
        <v>6144219.4981370028</v>
      </c>
      <c r="I78" s="11">
        <f t="shared" si="32"/>
        <v>4697.4155184533656</v>
      </c>
      <c r="J78" s="11">
        <f t="shared" si="33"/>
        <v>4626.9542856765647</v>
      </c>
      <c r="L78" s="21">
        <f>VLOOKUP(B78,AWPU!$B$7:'AWPU'!$M$102,12,FALSE)</f>
        <v>1308</v>
      </c>
      <c r="M78" s="11">
        <f>VLOOKUP(B78,'2015-16 FORMULA'!$B$2:'2015-16 FORMULA'!$M$97,12,FALSE)</f>
        <v>6186207.3910757694</v>
      </c>
      <c r="N78" s="11">
        <f>-VLOOKUP(B78,RATES!$D$8:'RATES'!$E$116,2,FALSE)</f>
        <v>598.56000000000859</v>
      </c>
      <c r="O78" s="11">
        <f>-VLOOKUP(B78,'LUMP SUM'!$B$7:'LUMP SUM'!$C$101,2,FALSE)</f>
        <v>-150000</v>
      </c>
      <c r="Q78" s="11">
        <f t="shared" si="34"/>
        <v>6036805.951075769</v>
      </c>
      <c r="R78" s="11">
        <f t="shared" si="35"/>
        <v>4615.295069629793</v>
      </c>
      <c r="S78" s="817"/>
      <c r="T78" s="11">
        <f t="shared" si="36"/>
        <v>15250.254589177668</v>
      </c>
      <c r="U78" s="11" t="e">
        <v>#VALUE!</v>
      </c>
      <c r="V78" s="11">
        <f t="shared" si="37"/>
        <v>6052056.2056649467</v>
      </c>
      <c r="W78" s="11">
        <f t="shared" si="38"/>
        <v>15250.254589177668</v>
      </c>
      <c r="X78" s="11">
        <f t="shared" si="39"/>
        <v>0</v>
      </c>
      <c r="Y78" s="11">
        <f t="shared" si="40"/>
        <v>0</v>
      </c>
      <c r="Z78" s="11">
        <f t="shared" si="41"/>
        <v>0</v>
      </c>
      <c r="AA78" s="11">
        <f t="shared" si="42"/>
        <v>0</v>
      </c>
      <c r="AB78" s="11">
        <f t="shared" si="43"/>
        <v>0</v>
      </c>
      <c r="AC78" s="11">
        <v>0</v>
      </c>
      <c r="AG78" s="30" t="s">
        <v>1208</v>
      </c>
      <c r="AH78" s="30">
        <v>1308</v>
      </c>
      <c r="AI78" s="21">
        <f t="shared" si="28"/>
        <v>0</v>
      </c>
      <c r="AN78" s="30"/>
      <c r="AO78" s="30"/>
      <c r="AP78" s="21"/>
    </row>
    <row r="79" spans="1:42" s="11" customFormat="1" x14ac:dyDescent="0.2">
      <c r="A79" s="9" t="s">
        <v>69</v>
      </c>
      <c r="B79" s="26">
        <v>4181</v>
      </c>
      <c r="C79" s="1028">
        <v>1067</v>
      </c>
      <c r="D79" s="11">
        <v>4821236.8487060694</v>
      </c>
      <c r="E79" s="11">
        <v>-19789.54</v>
      </c>
      <c r="F79" s="11">
        <f>-VLOOKUP(B79,'LUMP SUM'!$B$7:'LUMP SUM'!$C$101,2,FALSE)</f>
        <v>-150000</v>
      </c>
      <c r="H79" s="11">
        <f t="shared" si="31"/>
        <v>4651447.3087060694</v>
      </c>
      <c r="I79" s="11">
        <f t="shared" si="32"/>
        <v>4359.3695489278998</v>
      </c>
      <c r="J79" s="11">
        <f t="shared" si="33"/>
        <v>4293.979005693981</v>
      </c>
      <c r="L79" s="21">
        <f>VLOOKUP(B79,AWPU!$B$7:'AWPU'!$M$102,12,FALSE)</f>
        <v>1063</v>
      </c>
      <c r="M79" s="11">
        <f>VLOOKUP(B79,'2015-16 FORMULA'!$B$2:'2015-16 FORMULA'!$M$97,12,FALSE)</f>
        <v>4772060.1700059241</v>
      </c>
      <c r="N79" s="11">
        <f>-VLOOKUP(B79,RATES!$D$8:'RATES'!$E$116,2,FALSE)</f>
        <v>-17945.199999999997</v>
      </c>
      <c r="O79" s="11">
        <f>-VLOOKUP(B79,'LUMP SUM'!$B$7:'LUMP SUM'!$C$101,2,FALSE)</f>
        <v>-150000</v>
      </c>
      <c r="Q79" s="11">
        <f t="shared" si="34"/>
        <v>4604114.9700059239</v>
      </c>
      <c r="R79" s="11">
        <f t="shared" si="35"/>
        <v>4331.2464440319136</v>
      </c>
      <c r="S79" s="817"/>
      <c r="T79" s="11">
        <f t="shared" si="36"/>
        <v>0</v>
      </c>
      <c r="U79" s="11" t="e">
        <v>#VALUE!</v>
      </c>
      <c r="V79" s="11">
        <f t="shared" si="37"/>
        <v>4564499.6830527019</v>
      </c>
      <c r="W79" s="11">
        <f t="shared" si="38"/>
        <v>0</v>
      </c>
      <c r="X79" s="11">
        <f t="shared" si="39"/>
        <v>-39615.286953222007</v>
      </c>
      <c r="Y79" s="11">
        <f t="shared" si="40"/>
        <v>-39417.210518455897</v>
      </c>
      <c r="Z79" s="11">
        <f t="shared" si="41"/>
        <v>-39219.134083689787</v>
      </c>
      <c r="AA79" s="11">
        <f t="shared" si="42"/>
        <v>-39021.057648923677</v>
      </c>
      <c r="AB79" s="11">
        <f t="shared" si="43"/>
        <v>-38822.981214157568</v>
      </c>
      <c r="AC79" s="11">
        <v>0</v>
      </c>
      <c r="AG79" s="30" t="s">
        <v>1215</v>
      </c>
      <c r="AH79" s="30">
        <v>1067</v>
      </c>
      <c r="AI79" s="21">
        <f t="shared" si="28"/>
        <v>4</v>
      </c>
      <c r="AN79" s="30"/>
      <c r="AO79" s="30"/>
      <c r="AP79" s="21"/>
    </row>
    <row r="80" spans="1:42" s="11" customFormat="1" x14ac:dyDescent="0.2">
      <c r="A80" s="9" t="s">
        <v>70</v>
      </c>
      <c r="B80" s="26">
        <v>4182</v>
      </c>
      <c r="C80" s="1028">
        <v>1372</v>
      </c>
      <c r="D80" s="11">
        <v>5755873.3853326235</v>
      </c>
      <c r="E80" s="11">
        <v>-97873.04</v>
      </c>
      <c r="F80" s="11">
        <f>-VLOOKUP(B80,'LUMP SUM'!$B$7:'LUMP SUM'!$C$101,2,FALSE)</f>
        <v>-150000</v>
      </c>
      <c r="H80" s="11">
        <f t="shared" si="31"/>
        <v>5508000.3453326235</v>
      </c>
      <c r="I80" s="11">
        <f t="shared" si="32"/>
        <v>4014.5775111753815</v>
      </c>
      <c r="J80" s="11">
        <f t="shared" si="33"/>
        <v>3954.3588485077507</v>
      </c>
      <c r="L80" s="21">
        <f>VLOOKUP(B80,AWPU!$B$7:'AWPU'!$M$102,12,FALSE)</f>
        <v>1398</v>
      </c>
      <c r="M80" s="11">
        <f>VLOOKUP(B80,'2015-16 FORMULA'!$B$2:'2015-16 FORMULA'!$M$97,12,FALSE)</f>
        <v>5916459.4702773616</v>
      </c>
      <c r="N80" s="11">
        <f>-VLOOKUP(B80,RATES!$D$8:'RATES'!$E$116,2,FALSE)</f>
        <v>-98002.32</v>
      </c>
      <c r="O80" s="11">
        <f>-VLOOKUP(B80,'LUMP SUM'!$B$7:'LUMP SUM'!$C$101,2,FALSE)</f>
        <v>-150000</v>
      </c>
      <c r="Q80" s="11">
        <f t="shared" si="34"/>
        <v>5668457.1502773613</v>
      </c>
      <c r="R80" s="11">
        <f t="shared" si="35"/>
        <v>4054.690379311417</v>
      </c>
      <c r="S80" s="817"/>
      <c r="T80" s="11">
        <f t="shared" si="36"/>
        <v>0</v>
      </c>
      <c r="U80" s="11" t="e">
        <v>#VALUE!</v>
      </c>
      <c r="V80" s="11">
        <f t="shared" si="37"/>
        <v>5528193.6702138353</v>
      </c>
      <c r="W80" s="11">
        <f t="shared" si="38"/>
        <v>0</v>
      </c>
      <c r="X80" s="11">
        <f t="shared" si="39"/>
        <v>-140263.48006352596</v>
      </c>
      <c r="Y80" s="11">
        <f t="shared" si="40"/>
        <v>-139562.16266320832</v>
      </c>
      <c r="Z80" s="11">
        <f t="shared" si="41"/>
        <v>-138860.84526289071</v>
      </c>
      <c r="AA80" s="11">
        <f t="shared" si="42"/>
        <v>-138159.52786257307</v>
      </c>
      <c r="AB80" s="11">
        <f t="shared" si="43"/>
        <v>-137458.21046225543</v>
      </c>
      <c r="AC80" s="11">
        <v>0</v>
      </c>
      <c r="AG80" s="30" t="s">
        <v>1217</v>
      </c>
      <c r="AH80" s="30">
        <v>1372</v>
      </c>
      <c r="AI80" s="21">
        <f t="shared" si="28"/>
        <v>-26</v>
      </c>
      <c r="AN80" s="30"/>
      <c r="AO80" s="30"/>
      <c r="AP80" s="21"/>
    </row>
    <row r="81" spans="1:42" s="11" customFormat="1" x14ac:dyDescent="0.2">
      <c r="A81" s="9" t="s">
        <v>71</v>
      </c>
      <c r="B81" s="39">
        <v>4001</v>
      </c>
      <c r="C81" s="1028">
        <v>765</v>
      </c>
      <c r="D81" s="11">
        <v>4492192.4882394802</v>
      </c>
      <c r="E81" s="11">
        <v>-100530.24000000001</v>
      </c>
      <c r="F81" s="11">
        <f>-VLOOKUP(B81,'LUMP SUM'!$B$7:'LUMP SUM'!$C$101,2,FALSE)</f>
        <v>-150000</v>
      </c>
      <c r="H81" s="11">
        <f t="shared" si="31"/>
        <v>4241662.24823948</v>
      </c>
      <c r="I81" s="11">
        <f t="shared" si="32"/>
        <v>5544.6565336463791</v>
      </c>
      <c r="J81" s="11">
        <f t="shared" si="33"/>
        <v>5461.4866856416829</v>
      </c>
      <c r="L81" s="21">
        <f>VLOOKUP(B81,AWPU!$B$7:'AWPU'!$M$102,12,FALSE)</f>
        <v>731</v>
      </c>
      <c r="M81" s="11">
        <f>VLOOKUP(B81,'2015-16 FORMULA'!$B$2:'2015-16 FORMULA'!$M$97,12,FALSE)</f>
        <v>4451520.6781036863</v>
      </c>
      <c r="N81" s="11">
        <f>-VLOOKUP(B81,RATES!$D$8:'RATES'!$E$116,2,FALSE)</f>
        <v>-43137.5</v>
      </c>
      <c r="O81" s="11">
        <f>-VLOOKUP(B81,'LUMP SUM'!$B$7:'LUMP SUM'!$C$101,2,FALSE)</f>
        <v>-150000</v>
      </c>
      <c r="Q81" s="11">
        <f t="shared" si="34"/>
        <v>4258383.1781036863</v>
      </c>
      <c r="R81" s="1073">
        <f t="shared" si="35"/>
        <v>5825.4215842731683</v>
      </c>
      <c r="S81" s="817"/>
      <c r="T81" s="11">
        <f t="shared" si="36"/>
        <v>0</v>
      </c>
      <c r="U81" s="11" t="e">
        <v>#VALUE!</v>
      </c>
      <c r="V81" s="11">
        <f t="shared" si="37"/>
        <v>3992346.76720407</v>
      </c>
      <c r="W81" s="11">
        <f t="shared" si="38"/>
        <v>0</v>
      </c>
      <c r="X81" s="11">
        <f t="shared" si="39"/>
        <v>-266036.41089961631</v>
      </c>
      <c r="Y81" s="11">
        <f t="shared" si="40"/>
        <v>-264706.2288451182</v>
      </c>
      <c r="Z81" s="11">
        <f t="shared" si="41"/>
        <v>-263376.04679062014</v>
      </c>
      <c r="AA81" s="11">
        <f t="shared" si="42"/>
        <v>-262045.86473612205</v>
      </c>
      <c r="AB81" s="11">
        <f t="shared" si="43"/>
        <v>-260715.68268162396</v>
      </c>
      <c r="AC81" s="11">
        <v>0</v>
      </c>
      <c r="AD81" s="11">
        <f t="shared" ref="AD81:AD83" si="44">Q81-H81</f>
        <v>16720.929864206351</v>
      </c>
      <c r="AG81" s="30" t="s">
        <v>1218</v>
      </c>
      <c r="AH81" s="30">
        <v>765</v>
      </c>
      <c r="AI81" s="21">
        <f t="shared" si="28"/>
        <v>34</v>
      </c>
      <c r="AN81" s="30"/>
      <c r="AO81" s="30"/>
      <c r="AP81" s="21"/>
    </row>
    <row r="82" spans="1:42" s="11" customFormat="1" x14ac:dyDescent="0.2">
      <c r="A82" s="9" t="s">
        <v>112</v>
      </c>
      <c r="B82" s="26">
        <v>5406</v>
      </c>
      <c r="C82" s="1028">
        <v>850</v>
      </c>
      <c r="D82" s="11">
        <v>3952193.1289173816</v>
      </c>
      <c r="E82" s="11">
        <v>-25771.32</v>
      </c>
      <c r="F82" s="11">
        <f>-VLOOKUP(B82,'LUMP SUM'!$B$7:'LUMP SUM'!$C$101,2,FALSE)</f>
        <v>-150000</v>
      </c>
      <c r="H82" s="11">
        <f t="shared" si="31"/>
        <v>3776421.8089173818</v>
      </c>
      <c r="I82" s="11">
        <f t="shared" si="32"/>
        <v>4442.8491869616255</v>
      </c>
      <c r="J82" s="11">
        <f t="shared" si="33"/>
        <v>4376.206449157201</v>
      </c>
      <c r="L82" s="21">
        <f>VLOOKUP(B82,AWPU!$B$7:'AWPU'!$M$102,12,FALSE)</f>
        <v>855</v>
      </c>
      <c r="M82" s="11">
        <f>VLOOKUP(B82,'2015-16 FORMULA'!$B$2:'2015-16 FORMULA'!$M$97,12,FALSE)</f>
        <v>4079913.4783697422</v>
      </c>
      <c r="N82" s="11">
        <f>-VLOOKUP(B82,RATES!$D$8:'RATES'!$E$116,2,FALSE)</f>
        <v>-24743.160000000003</v>
      </c>
      <c r="O82" s="11">
        <f>-VLOOKUP(B82,'LUMP SUM'!$B$7:'LUMP SUM'!$C$101,2,FALSE)</f>
        <v>-150000</v>
      </c>
      <c r="Q82" s="11">
        <f t="shared" si="34"/>
        <v>3905170.318369742</v>
      </c>
      <c r="R82" s="11">
        <f t="shared" si="35"/>
        <v>4567.4506647599319</v>
      </c>
      <c r="S82" s="817"/>
      <c r="T82" s="11">
        <f t="shared" si="36"/>
        <v>0</v>
      </c>
      <c r="U82" s="11" t="e">
        <v>#VALUE!</v>
      </c>
      <c r="V82" s="11">
        <f t="shared" si="37"/>
        <v>3741656.5140294069</v>
      </c>
      <c r="W82" s="11">
        <f t="shared" si="38"/>
        <v>0</v>
      </c>
      <c r="X82" s="11">
        <f t="shared" si="39"/>
        <v>-163513.80434033507</v>
      </c>
      <c r="Y82" s="11">
        <f t="shared" si="40"/>
        <v>-162696.23531863341</v>
      </c>
      <c r="Z82" s="11">
        <f t="shared" si="41"/>
        <v>-161878.66629693174</v>
      </c>
      <c r="AA82" s="11">
        <f t="shared" si="42"/>
        <v>-161061.09727523004</v>
      </c>
      <c r="AB82" s="11">
        <f t="shared" si="43"/>
        <v>-160243.52825352838</v>
      </c>
      <c r="AC82" s="11">
        <v>0</v>
      </c>
      <c r="AG82" s="30" t="s">
        <v>1220</v>
      </c>
      <c r="AH82" s="30">
        <v>850</v>
      </c>
      <c r="AI82" s="21">
        <f t="shared" si="28"/>
        <v>-5</v>
      </c>
      <c r="AN82" s="30"/>
      <c r="AO82" s="30"/>
      <c r="AP82" s="21"/>
    </row>
    <row r="83" spans="1:42" s="11" customFormat="1" x14ac:dyDescent="0.2">
      <c r="A83" s="9" t="s">
        <v>113</v>
      </c>
      <c r="B83" s="26">
        <v>5407</v>
      </c>
      <c r="C83" s="1028">
        <v>995</v>
      </c>
      <c r="D83" s="11">
        <v>5028809.3243829096</v>
      </c>
      <c r="E83" s="11">
        <v>-28045.759999999998</v>
      </c>
      <c r="F83" s="11">
        <f>-VLOOKUP(B83,'LUMP SUM'!$B$7:'LUMP SUM'!$C$101,2,FALSE)</f>
        <v>-150000</v>
      </c>
      <c r="H83" s="11">
        <f t="shared" si="31"/>
        <v>4850763.5643829098</v>
      </c>
      <c r="I83" s="11">
        <f t="shared" si="32"/>
        <v>4875.1392606863419</v>
      </c>
      <c r="J83" s="11">
        <f t="shared" si="33"/>
        <v>4802.0121717760467</v>
      </c>
      <c r="L83" s="21">
        <f>VLOOKUP(B83,AWPU!$B$7:'AWPU'!$M$102,12,FALSE)</f>
        <v>1035</v>
      </c>
      <c r="M83" s="11">
        <f>VLOOKUP(B83,'2015-16 FORMULA'!$B$2:'2015-16 FORMULA'!$M$97,12,FALSE)</f>
        <v>5430086.147574055</v>
      </c>
      <c r="N83" s="11">
        <f>-VLOOKUP(B83,RATES!$D$8:'RATES'!$E$116,2,FALSE)</f>
        <v>-26926.380000000005</v>
      </c>
      <c r="O83" s="11">
        <f>-VLOOKUP(B83,'LUMP SUM'!$B$7:'LUMP SUM'!$C$101,2,FALSE)</f>
        <v>-150000</v>
      </c>
      <c r="P83" s="11">
        <v>-296985</v>
      </c>
      <c r="Q83" s="11">
        <f t="shared" si="34"/>
        <v>4956174.7675740551</v>
      </c>
      <c r="R83" s="11">
        <f t="shared" si="35"/>
        <v>4788.5746546609225</v>
      </c>
      <c r="S83" s="817"/>
      <c r="T83" s="11">
        <f t="shared" si="36"/>
        <v>13907.830214153044</v>
      </c>
      <c r="U83" s="11" t="e">
        <v>#VALUE!</v>
      </c>
      <c r="V83" s="11">
        <f t="shared" si="37"/>
        <v>4970082.5977882082</v>
      </c>
      <c r="W83" s="11">
        <f t="shared" si="38"/>
        <v>13907.830214153044</v>
      </c>
      <c r="X83" s="11">
        <f t="shared" si="39"/>
        <v>0</v>
      </c>
      <c r="Y83" s="11">
        <f t="shared" si="40"/>
        <v>0</v>
      </c>
      <c r="Z83" s="11">
        <f t="shared" si="41"/>
        <v>0</v>
      </c>
      <c r="AA83" s="11">
        <f t="shared" si="42"/>
        <v>0</v>
      </c>
      <c r="AB83" s="11">
        <f t="shared" si="43"/>
        <v>0</v>
      </c>
      <c r="AC83" s="11">
        <v>0</v>
      </c>
      <c r="AD83" s="11">
        <f t="shared" si="44"/>
        <v>105411.20319114532</v>
      </c>
      <c r="AG83" s="30" t="s">
        <v>1222</v>
      </c>
      <c r="AH83" s="30">
        <v>995</v>
      </c>
      <c r="AI83" s="21">
        <f t="shared" si="28"/>
        <v>-40</v>
      </c>
      <c r="AN83" s="30"/>
      <c r="AO83" s="30"/>
      <c r="AP83" s="21"/>
    </row>
    <row r="84" spans="1:42" s="11" customFormat="1" x14ac:dyDescent="0.2">
      <c r="A84" s="9" t="s">
        <v>72</v>
      </c>
      <c r="B84" s="26">
        <v>4607</v>
      </c>
      <c r="C84" s="1028">
        <v>1156</v>
      </c>
      <c r="D84" s="11">
        <v>5361062.5899823485</v>
      </c>
      <c r="E84" s="11">
        <v>-28900.560000000001</v>
      </c>
      <c r="F84" s="11">
        <f>-VLOOKUP(B84,'LUMP SUM'!$B$7:'LUMP SUM'!$C$101,2,FALSE)</f>
        <v>-150000</v>
      </c>
      <c r="H84" s="11">
        <f t="shared" si="31"/>
        <v>5182162.0299823489</v>
      </c>
      <c r="I84" s="11">
        <f t="shared" si="32"/>
        <v>4482.8391262823088</v>
      </c>
      <c r="J84" s="11">
        <f t="shared" si="33"/>
        <v>4415.5965393880742</v>
      </c>
      <c r="L84" s="21">
        <f>VLOOKUP(B84,AWPU!$B$7:'AWPU'!$M$102,12,FALSE)</f>
        <v>1143</v>
      </c>
      <c r="M84" s="11">
        <f>VLOOKUP(B84,'2015-16 FORMULA'!$B$2:'2015-16 FORMULA'!$M$97,12,FALSE)</f>
        <v>5479902.1309634736</v>
      </c>
      <c r="N84" s="11">
        <f>-VLOOKUP(B84,RATES!$D$8:'RATES'!$E$116,2,FALSE)</f>
        <v>-24650</v>
      </c>
      <c r="O84" s="11">
        <f>-VLOOKUP(B84,'LUMP SUM'!$B$7:'LUMP SUM'!$C$101,2,FALSE)</f>
        <v>-150000</v>
      </c>
      <c r="Q84" s="11">
        <f t="shared" si="34"/>
        <v>5305252.1309634736</v>
      </c>
      <c r="R84" s="11">
        <f t="shared" si="35"/>
        <v>4641.5154251648937</v>
      </c>
      <c r="S84" s="817"/>
      <c r="T84" s="11">
        <f t="shared" si="36"/>
        <v>0</v>
      </c>
      <c r="U84" s="11" t="e">
        <v>#VALUE!</v>
      </c>
      <c r="V84" s="11">
        <f t="shared" si="37"/>
        <v>5047026.8445205688</v>
      </c>
      <c r="W84" s="11">
        <f t="shared" si="38"/>
        <v>0</v>
      </c>
      <c r="X84" s="11">
        <f t="shared" si="39"/>
        <v>-258225.28644290473</v>
      </c>
      <c r="Y84" s="11">
        <f t="shared" si="40"/>
        <v>-256934.16001069022</v>
      </c>
      <c r="Z84" s="11">
        <f t="shared" si="41"/>
        <v>-255643.03357847568</v>
      </c>
      <c r="AA84" s="11">
        <f t="shared" si="42"/>
        <v>-254351.90714626116</v>
      </c>
      <c r="AB84" s="11">
        <f t="shared" si="43"/>
        <v>-253060.78071404665</v>
      </c>
      <c r="AC84" s="11">
        <v>0</v>
      </c>
      <c r="AG84" s="30" t="s">
        <v>1223</v>
      </c>
      <c r="AH84" s="30">
        <v>1156</v>
      </c>
      <c r="AI84" s="21">
        <f t="shared" si="28"/>
        <v>13</v>
      </c>
      <c r="AN84" s="30"/>
      <c r="AO84" s="30"/>
      <c r="AP84" s="21"/>
    </row>
    <row r="85" spans="1:42" s="11" customFormat="1" x14ac:dyDescent="0.2">
      <c r="A85" s="9" t="s">
        <v>452</v>
      </c>
      <c r="B85" s="39">
        <v>4002</v>
      </c>
      <c r="C85" s="1028">
        <v>750</v>
      </c>
      <c r="D85" s="11">
        <v>3924994.4584246315</v>
      </c>
      <c r="E85" s="11">
        <v>-19095.75</v>
      </c>
      <c r="F85" s="11">
        <f>-VLOOKUP(B85,'LUMP SUM'!$B$7:'LUMP SUM'!$C$101,2,FALSE)</f>
        <v>-150000</v>
      </c>
      <c r="H85" s="11">
        <f t="shared" si="31"/>
        <v>3755898.7084246315</v>
      </c>
      <c r="I85" s="11">
        <f t="shared" si="32"/>
        <v>5007.8649445661749</v>
      </c>
      <c r="J85" s="11">
        <f t="shared" si="33"/>
        <v>4932.7469703976822</v>
      </c>
      <c r="L85" s="21">
        <f>VLOOKUP(B85,AWPU!$B$7:'AWPU'!$M$102,12,FALSE)</f>
        <v>778</v>
      </c>
      <c r="M85" s="11">
        <f>VLOOKUP(B85,'2015-16 FORMULA'!$B$2:'2015-16 FORMULA'!$M$97,12,FALSE)</f>
        <v>4145647.9256211072</v>
      </c>
      <c r="N85" s="11">
        <f>-VLOOKUP(B85,RATES!$D$8:'RATES'!$E$116,2,FALSE)</f>
        <v>-44863</v>
      </c>
      <c r="O85" s="11">
        <f>-VLOOKUP(B85,'LUMP SUM'!$B$7:'LUMP SUM'!$C$101,2,FALSE)</f>
        <v>-150000</v>
      </c>
      <c r="Q85" s="11">
        <f t="shared" si="34"/>
        <v>3950784.9256211072</v>
      </c>
      <c r="R85" s="1073">
        <f t="shared" si="35"/>
        <v>5078.1297244487241</v>
      </c>
      <c r="S85" s="817"/>
      <c r="T85" s="11">
        <f t="shared" si="36"/>
        <v>0</v>
      </c>
      <c r="U85" s="11" t="e">
        <v>#VALUE!</v>
      </c>
      <c r="V85" s="11">
        <f t="shared" si="37"/>
        <v>3837677.1429693969</v>
      </c>
      <c r="W85" s="11">
        <f t="shared" si="38"/>
        <v>0</v>
      </c>
      <c r="X85" s="11">
        <f t="shared" si="39"/>
        <v>-113107.78265171032</v>
      </c>
      <c r="Y85" s="11">
        <f t="shared" si="40"/>
        <v>-112542.24373845177</v>
      </c>
      <c r="Z85" s="11">
        <f t="shared" si="41"/>
        <v>-111976.70482519321</v>
      </c>
      <c r="AA85" s="11">
        <f t="shared" si="42"/>
        <v>-111411.16591193466</v>
      </c>
      <c r="AB85" s="11">
        <f t="shared" si="43"/>
        <v>-110845.62699867612</v>
      </c>
      <c r="AC85" s="11">
        <v>0</v>
      </c>
      <c r="AG85" s="30" t="s">
        <v>1226</v>
      </c>
      <c r="AH85" s="30">
        <v>750</v>
      </c>
      <c r="AI85" s="21">
        <f t="shared" si="28"/>
        <v>-28</v>
      </c>
      <c r="AN85" s="30"/>
      <c r="AO85" s="30"/>
      <c r="AP85" s="21"/>
    </row>
    <row r="86" spans="1:42" s="11" customFormat="1" x14ac:dyDescent="0.2">
      <c r="A86" s="9" t="s">
        <v>74</v>
      </c>
      <c r="B86" s="26">
        <v>5412</v>
      </c>
      <c r="C86" s="1028">
        <v>1243</v>
      </c>
      <c r="D86" s="11">
        <v>5268895.9816039475</v>
      </c>
      <c r="E86" s="11">
        <v>-20867.18</v>
      </c>
      <c r="F86" s="11">
        <f>-VLOOKUP(B86,'LUMP SUM'!$B$7:'LUMP SUM'!$C$101,2,FALSE)</f>
        <v>-150000</v>
      </c>
      <c r="H86" s="11">
        <f t="shared" si="31"/>
        <v>5098028.8016039478</v>
      </c>
      <c r="I86" s="11">
        <f t="shared" si="32"/>
        <v>4101.3908299307705</v>
      </c>
      <c r="J86" s="11">
        <f t="shared" si="33"/>
        <v>4039.869967481809</v>
      </c>
      <c r="L86" s="21">
        <f>VLOOKUP(B86,AWPU!$B$7:'AWPU'!$M$102,12,FALSE)</f>
        <v>1257</v>
      </c>
      <c r="M86" s="11">
        <f>VLOOKUP(B86,'2015-16 FORMULA'!$B$2:'2015-16 FORMULA'!$M$97,12,FALSE)</f>
        <v>5473995.7221167302</v>
      </c>
      <c r="N86" s="11">
        <f>-VLOOKUP(B86,RATES!$D$8:'RATES'!$E$116,2,FALSE)</f>
        <v>-21001.799999999988</v>
      </c>
      <c r="O86" s="11">
        <f>-VLOOKUP(B86,'LUMP SUM'!$B$7:'LUMP SUM'!$C$101,2,FALSE)</f>
        <v>-150000</v>
      </c>
      <c r="Q86" s="11">
        <f t="shared" si="34"/>
        <v>5302993.9221167304</v>
      </c>
      <c r="R86" s="11">
        <f t="shared" si="35"/>
        <v>4218.7700255503023</v>
      </c>
      <c r="S86" s="817"/>
      <c r="T86" s="11">
        <f t="shared" si="36"/>
        <v>0</v>
      </c>
      <c r="U86" s="11" t="e">
        <v>#VALUE!</v>
      </c>
      <c r="V86" s="11">
        <f t="shared" si="37"/>
        <v>5078116.5491246339</v>
      </c>
      <c r="W86" s="11">
        <f t="shared" si="38"/>
        <v>0</v>
      </c>
      <c r="X86" s="11">
        <f t="shared" si="39"/>
        <v>-224877.37299209647</v>
      </c>
      <c r="Y86" s="11">
        <f t="shared" si="40"/>
        <v>-223752.98612713598</v>
      </c>
      <c r="Z86" s="11">
        <f t="shared" si="41"/>
        <v>-222628.59926217553</v>
      </c>
      <c r="AA86" s="11">
        <f t="shared" si="42"/>
        <v>-221504.21239721504</v>
      </c>
      <c r="AB86" s="11">
        <f t="shared" si="43"/>
        <v>-220379.82553225456</v>
      </c>
      <c r="AC86" s="11">
        <v>0</v>
      </c>
      <c r="AG86" s="30" t="s">
        <v>1229</v>
      </c>
      <c r="AH86" s="30">
        <v>1243</v>
      </c>
      <c r="AI86" s="21">
        <f t="shared" si="28"/>
        <v>-14</v>
      </c>
      <c r="AN86" s="30"/>
      <c r="AO86" s="30"/>
      <c r="AP86" s="21"/>
    </row>
    <row r="87" spans="1:42" s="11" customFormat="1" x14ac:dyDescent="0.2">
      <c r="A87" s="9" t="s">
        <v>73</v>
      </c>
      <c r="B87" s="26">
        <v>5414</v>
      </c>
      <c r="C87" s="1028">
        <v>1023</v>
      </c>
      <c r="D87" s="11">
        <v>4339928.307253208</v>
      </c>
      <c r="E87" s="11">
        <v>-24198.1</v>
      </c>
      <c r="F87" s="11">
        <f>-VLOOKUP(B87,'LUMP SUM'!$B$7:'LUMP SUM'!$C$101,2,FALSE)</f>
        <v>-150000</v>
      </c>
      <c r="H87" s="11">
        <f t="shared" si="31"/>
        <v>4165730.2072532084</v>
      </c>
      <c r="I87" s="11">
        <f t="shared" si="32"/>
        <v>4072.072538859441</v>
      </c>
      <c r="J87" s="11">
        <f t="shared" si="33"/>
        <v>4010.9914507765493</v>
      </c>
      <c r="L87" s="21">
        <f>VLOOKUP(B87,AWPU!$B$7:'AWPU'!$M$102,12,FALSE)</f>
        <v>1041</v>
      </c>
      <c r="M87" s="11">
        <f>VLOOKUP(B87,'2015-16 FORMULA'!$B$2:'2015-16 FORMULA'!$M$97,12,FALSE)</f>
        <v>4514933.8852053694</v>
      </c>
      <c r="N87" s="11">
        <f>-VLOOKUP(B87,RATES!$D$8:'RATES'!$E$116,2,FALSE)</f>
        <v>-24354.199999999997</v>
      </c>
      <c r="O87" s="11">
        <f>-VLOOKUP(B87,'LUMP SUM'!$B$7:'LUMP SUM'!$C$101,2,FALSE)</f>
        <v>-150000</v>
      </c>
      <c r="Q87" s="11">
        <f t="shared" si="34"/>
        <v>4340579.6852053693</v>
      </c>
      <c r="R87" s="11">
        <f t="shared" si="35"/>
        <v>4169.6250578341687</v>
      </c>
      <c r="S87" s="817"/>
      <c r="T87" s="11">
        <f t="shared" si="36"/>
        <v>0</v>
      </c>
      <c r="U87" s="11" t="e">
        <v>#VALUE!</v>
      </c>
      <c r="V87" s="11">
        <f t="shared" si="37"/>
        <v>4175442.1002583876</v>
      </c>
      <c r="W87" s="11">
        <f t="shared" si="38"/>
        <v>0</v>
      </c>
      <c r="X87" s="11">
        <f t="shared" si="39"/>
        <v>-165137.58494698163</v>
      </c>
      <c r="Y87" s="11">
        <f t="shared" si="40"/>
        <v>-164311.89702224673</v>
      </c>
      <c r="Z87" s="11">
        <f t="shared" si="41"/>
        <v>-163486.2090975118</v>
      </c>
      <c r="AA87" s="11">
        <f t="shared" si="42"/>
        <v>-162660.52117277691</v>
      </c>
      <c r="AB87" s="11">
        <f t="shared" si="43"/>
        <v>-161834.83324804201</v>
      </c>
      <c r="AC87" s="11">
        <v>0</v>
      </c>
      <c r="AG87" s="30" t="s">
        <v>1231</v>
      </c>
      <c r="AH87" s="30">
        <v>1023</v>
      </c>
      <c r="AI87" s="21">
        <f t="shared" si="28"/>
        <v>-18</v>
      </c>
      <c r="AN87" s="30"/>
      <c r="AO87" s="30"/>
      <c r="AP87" s="21"/>
    </row>
    <row r="88" spans="1:42" s="11" customFormat="1" x14ac:dyDescent="0.2">
      <c r="A88" s="9" t="s">
        <v>912</v>
      </c>
      <c r="B88" s="26"/>
      <c r="C88" s="1075">
        <v>0</v>
      </c>
      <c r="D88" s="1076"/>
      <c r="E88" s="1076"/>
      <c r="F88" s="1076"/>
      <c r="G88" s="1076"/>
      <c r="H88" s="1076"/>
      <c r="I88" s="1076"/>
      <c r="J88" s="1076"/>
      <c r="K88" s="1076"/>
      <c r="L88" s="1075">
        <v>0</v>
      </c>
      <c r="M88" s="1076"/>
      <c r="N88" s="1076"/>
      <c r="O88" s="1076"/>
      <c r="P88" s="1076"/>
      <c r="Q88" s="1076"/>
      <c r="R88" s="1076"/>
      <c r="S88" s="1076"/>
      <c r="T88" s="1076"/>
      <c r="U88" s="1076"/>
      <c r="V88" s="1076"/>
      <c r="W88" s="1076"/>
      <c r="X88" s="1076"/>
      <c r="Y88" s="1076"/>
      <c r="Z88" s="1076"/>
      <c r="AA88" s="1076"/>
      <c r="AB88" s="1076"/>
      <c r="AC88" s="1076"/>
      <c r="AD88" s="1076"/>
      <c r="AG88" s="30" t="s">
        <v>1201</v>
      </c>
      <c r="AH88" s="30">
        <v>210</v>
      </c>
      <c r="AI88" s="21">
        <f t="shared" si="28"/>
        <v>210</v>
      </c>
      <c r="AJ88" s="11" t="s">
        <v>1260</v>
      </c>
      <c r="AN88" s="30"/>
      <c r="AO88" s="30"/>
      <c r="AP88" s="21"/>
    </row>
    <row r="89" spans="1:42" s="11" customFormat="1" x14ac:dyDescent="0.2">
      <c r="A89" s="9" t="s">
        <v>597</v>
      </c>
      <c r="B89" s="10">
        <v>6905</v>
      </c>
      <c r="C89" s="1075">
        <v>846</v>
      </c>
      <c r="D89" s="1076"/>
      <c r="E89" s="1076"/>
      <c r="F89" s="1076"/>
      <c r="G89" s="1076"/>
      <c r="H89" s="1076"/>
      <c r="I89" s="1076"/>
      <c r="J89" s="1076"/>
      <c r="K89" s="1076"/>
      <c r="L89" s="1075">
        <v>846</v>
      </c>
      <c r="M89" s="1076"/>
      <c r="N89" s="1076"/>
      <c r="O89" s="1076"/>
      <c r="P89" s="1076"/>
      <c r="Q89" s="1076"/>
      <c r="R89" s="1076"/>
      <c r="S89" s="1076"/>
      <c r="T89" s="1076"/>
      <c r="U89" s="1076"/>
      <c r="V89" s="1076"/>
      <c r="W89" s="1076"/>
      <c r="X89" s="1076"/>
      <c r="Y89" s="1076"/>
      <c r="Z89" s="1076"/>
      <c r="AA89" s="1076"/>
      <c r="AB89" s="1076"/>
      <c r="AC89" s="1076"/>
      <c r="AD89" s="1076"/>
      <c r="AE89" s="11" t="s">
        <v>1259</v>
      </c>
      <c r="AG89" s="30" t="s">
        <v>1213</v>
      </c>
      <c r="AH89" s="30">
        <v>846</v>
      </c>
      <c r="AI89" s="21">
        <f t="shared" si="28"/>
        <v>0</v>
      </c>
      <c r="AN89" s="30"/>
      <c r="AO89" s="30"/>
      <c r="AP89" s="21"/>
    </row>
    <row r="90" spans="1:42" s="11" customFormat="1" x14ac:dyDescent="0.2">
      <c r="A90" s="9"/>
      <c r="B90" s="26"/>
      <c r="C90" s="1028"/>
      <c r="L90" s="21"/>
      <c r="AG90" s="30"/>
      <c r="AH90" s="30"/>
      <c r="AI90" s="21"/>
      <c r="AN90" s="30"/>
    </row>
    <row r="91" spans="1:42" s="11" customFormat="1" x14ac:dyDescent="0.2">
      <c r="A91" s="1" t="s">
        <v>115</v>
      </c>
      <c r="B91" s="24" t="s">
        <v>115</v>
      </c>
      <c r="C91" s="1078">
        <f>SUM(C76:C89)</f>
        <v>13266</v>
      </c>
      <c r="D91" s="29">
        <f t="shared" ref="D91:J91" si="45">SUM(D76:D90)</f>
        <v>57872200.805580884</v>
      </c>
      <c r="E91" s="29">
        <f t="shared" si="45"/>
        <v>-457599.38999999996</v>
      </c>
      <c r="F91" s="29">
        <f t="shared" si="45"/>
        <v>-1800000</v>
      </c>
      <c r="G91" s="29">
        <f t="shared" si="45"/>
        <v>0</v>
      </c>
      <c r="H91" s="29">
        <f t="shared" si="45"/>
        <v>55614601.415580884</v>
      </c>
      <c r="I91" s="29">
        <f t="shared" si="45"/>
        <v>54889.549211939899</v>
      </c>
      <c r="J91" s="29">
        <f t="shared" si="45"/>
        <v>54066.205973760807</v>
      </c>
      <c r="K91" s="29"/>
      <c r="L91" s="1031">
        <f t="shared" ref="L91:R91" si="46">SUM(L76:L90)</f>
        <v>13335</v>
      </c>
      <c r="M91" s="29">
        <f t="shared" si="46"/>
        <v>58964334.133195922</v>
      </c>
      <c r="N91" s="29">
        <f t="shared" si="46"/>
        <v>-385003.44999999995</v>
      </c>
      <c r="O91" s="29">
        <f t="shared" si="46"/>
        <v>-1800000</v>
      </c>
      <c r="P91" s="29">
        <f t="shared" si="46"/>
        <v>-296985</v>
      </c>
      <c r="Q91" s="29">
        <f t="shared" si="46"/>
        <v>56482345.683195934</v>
      </c>
      <c r="R91" s="29">
        <f t="shared" si="46"/>
        <v>55342.407417464732</v>
      </c>
      <c r="S91" s="29"/>
      <c r="T91" s="29">
        <f>SUM(T76:T90)</f>
        <v>185772.72940348927</v>
      </c>
      <c r="V91" s="29">
        <f t="shared" ref="V91:AD91" si="47">SUM(V76:V90)</f>
        <v>55055501.93916183</v>
      </c>
      <c r="W91" s="29">
        <f t="shared" si="47"/>
        <v>185772.72940348927</v>
      </c>
      <c r="X91" s="29">
        <f t="shared" si="47"/>
        <v>-1612616.4734375859</v>
      </c>
      <c r="Y91" s="29">
        <f t="shared" si="47"/>
        <v>-1604553.391070398</v>
      </c>
      <c r="Z91" s="29">
        <f t="shared" si="47"/>
        <v>-1596490.30870321</v>
      </c>
      <c r="AA91" s="29">
        <f t="shared" si="47"/>
        <v>-1588427.2263360217</v>
      </c>
      <c r="AB91" s="29">
        <f t="shared" si="47"/>
        <v>-1580364.1439688343</v>
      </c>
      <c r="AC91" s="29">
        <f t="shared" si="47"/>
        <v>0</v>
      </c>
      <c r="AD91" s="29">
        <f t="shared" si="47"/>
        <v>122132.13305535167</v>
      </c>
      <c r="AG91" s="30"/>
      <c r="AH91" s="30"/>
      <c r="AI91" s="21"/>
      <c r="AN91" s="30"/>
    </row>
    <row r="92" spans="1:42" s="11" customFormat="1" x14ac:dyDescent="0.2">
      <c r="A92" s="1"/>
      <c r="B92" s="24"/>
      <c r="C92" s="1078"/>
      <c r="D92" s="29"/>
      <c r="E92" s="29"/>
      <c r="F92" s="29"/>
      <c r="G92" s="29"/>
      <c r="H92" s="29"/>
      <c r="I92" s="29"/>
      <c r="J92" s="29"/>
      <c r="K92" s="29"/>
      <c r="L92" s="1031"/>
      <c r="M92" s="29"/>
      <c r="N92" s="29"/>
      <c r="O92" s="29"/>
      <c r="P92" s="29"/>
      <c r="Q92" s="29"/>
      <c r="R92" s="29"/>
      <c r="S92" s="29"/>
      <c r="T92" s="29"/>
      <c r="V92" s="29"/>
      <c r="W92" s="29"/>
      <c r="X92" s="29"/>
      <c r="Y92" s="29"/>
      <c r="Z92" s="29"/>
      <c r="AA92" s="29"/>
      <c r="AB92" s="29"/>
      <c r="AC92" s="29"/>
      <c r="AD92" s="29"/>
      <c r="AG92" s="30"/>
      <c r="AH92" s="30"/>
      <c r="AI92" s="21"/>
      <c r="AN92" s="30"/>
    </row>
    <row r="93" spans="1:42" s="11" customFormat="1" x14ac:dyDescent="0.2">
      <c r="A93" s="9" t="s">
        <v>114</v>
      </c>
      <c r="B93" s="26">
        <v>4177</v>
      </c>
      <c r="C93" s="1079">
        <f>656.75-45</f>
        <v>611.75</v>
      </c>
      <c r="D93" s="11">
        <v>3687688.9173981524</v>
      </c>
      <c r="E93" s="11">
        <v>-20212.8</v>
      </c>
      <c r="F93" s="11">
        <f>-VLOOKUP(B93,'LUMP SUM'!$B$7:'LUMP SUM'!$C$101,2,FALSE)</f>
        <v>-150000</v>
      </c>
      <c r="H93" s="11">
        <f t="shared" ref="H93" si="48">SUM(D93:G93)</f>
        <v>3517476.1173981526</v>
      </c>
      <c r="I93" s="11">
        <f t="shared" ref="I93" si="49">SUM(H93/C93)</f>
        <v>5749.8587942756885</v>
      </c>
      <c r="J93" s="11">
        <f t="shared" ref="J93" si="50">SUM(I93*0.985)</f>
        <v>5663.6109123615533</v>
      </c>
      <c r="L93" s="21">
        <f>VLOOKUP(B93,AWPU!$B$7:'AWPU'!$M$102,12,FALSE)</f>
        <v>699.5</v>
      </c>
      <c r="M93" s="11">
        <f>VLOOKUP(B93,'2015-16 FORMULA'!$B$2:'2015-16 FORMULA'!$M$97,12,FALSE)</f>
        <v>4136452.4814668698</v>
      </c>
      <c r="N93" s="11">
        <f>-VLOOKUP(B93,RATES!$D$8:'RATES'!$E$116,2,FALSE)</f>
        <v>-12244.900000000005</v>
      </c>
      <c r="O93" s="11">
        <f>-VLOOKUP(B93,'LUMP SUM'!$B$7:'LUMP SUM'!$C$101,2,FALSE)</f>
        <v>-150000</v>
      </c>
      <c r="Q93" s="11">
        <f t="shared" ref="Q93" si="51">SUM(M93:P93)</f>
        <v>3974207.5814668699</v>
      </c>
      <c r="R93" s="11">
        <f t="shared" ref="R93" si="52">SUM(Q93/L93)</f>
        <v>5681.4976146774407</v>
      </c>
      <c r="T93" s="11">
        <f t="shared" ref="T93" si="53">W93+AC93</f>
        <v>0</v>
      </c>
      <c r="U93" s="11" t="e">
        <v>#VALUE!</v>
      </c>
      <c r="V93" s="11">
        <f t="shared" ref="V93" si="54">J93*L93</f>
        <v>3961695.8331969064</v>
      </c>
      <c r="W93" s="11">
        <f t="shared" ref="W93" si="55">IF(V93&lt;Q93,0,V93-Q93)</f>
        <v>0</v>
      </c>
      <c r="X93" s="11">
        <f t="shared" ref="X93" si="56">-IF(V93&lt;Q93,Q93-V93,0)</f>
        <v>-12511.748269963544</v>
      </c>
      <c r="Y93" s="11">
        <f t="shared" ref="Y93" si="57">-IF(V93&lt;Q93,(Q93-V93)/100*99.5,0)</f>
        <v>-12449.189528613726</v>
      </c>
      <c r="Z93" s="11">
        <f t="shared" ref="Z93" si="58">-IF(V93&lt;Q93,(Q93-V93)/100*99,0)</f>
        <v>-12386.63078726391</v>
      </c>
      <c r="AA93" s="11">
        <f t="shared" ref="AA93" si="59">-IF(V93&lt;Q93,(Q93-V93)/100*98.5,0)</f>
        <v>-12324.072045914092</v>
      </c>
      <c r="AB93" s="11">
        <f t="shared" ref="AB93" si="60">-IF(V93&lt;Q93,(Q93-V93)/100*98,0)</f>
        <v>-12261.513304564274</v>
      </c>
      <c r="AC93" s="11">
        <v>0</v>
      </c>
      <c r="AD93" s="30"/>
      <c r="AG93" s="30" t="s">
        <v>1233</v>
      </c>
      <c r="AH93" s="30">
        <v>568</v>
      </c>
      <c r="AI93" s="21">
        <f t="shared" ref="AI93" si="61">AH93-L93</f>
        <v>-131.5</v>
      </c>
      <c r="AJ93" s="11" t="s">
        <v>1261</v>
      </c>
      <c r="AN93" s="30"/>
      <c r="AO93" s="30"/>
      <c r="AP93" s="21"/>
    </row>
    <row r="94" spans="1:42" s="11" customFormat="1" x14ac:dyDescent="0.2">
      <c r="A94" s="1"/>
      <c r="B94" s="1"/>
      <c r="C94" s="1028"/>
      <c r="L94" s="21"/>
      <c r="AG94" s="30"/>
      <c r="AH94" s="30"/>
      <c r="AI94" s="21"/>
    </row>
    <row r="95" spans="1:42" s="11" customFormat="1" x14ac:dyDescent="0.2">
      <c r="A95" s="1" t="s">
        <v>914</v>
      </c>
      <c r="B95" s="1" t="s">
        <v>915</v>
      </c>
      <c r="C95" s="1078">
        <f>C93</f>
        <v>611.75</v>
      </c>
      <c r="D95" s="1078">
        <f t="shared" ref="D95:AD95" si="62">D93</f>
        <v>3687688.9173981524</v>
      </c>
      <c r="E95" s="1078">
        <f t="shared" si="62"/>
        <v>-20212.8</v>
      </c>
      <c r="F95" s="1078">
        <f t="shared" si="62"/>
        <v>-150000</v>
      </c>
      <c r="G95" s="1078">
        <f t="shared" si="62"/>
        <v>0</v>
      </c>
      <c r="H95" s="1078">
        <f t="shared" si="62"/>
        <v>3517476.1173981526</v>
      </c>
      <c r="I95" s="1078">
        <f t="shared" si="62"/>
        <v>5749.8587942756885</v>
      </c>
      <c r="J95" s="1078">
        <f t="shared" si="62"/>
        <v>5663.6109123615533</v>
      </c>
      <c r="K95" s="1078"/>
      <c r="L95" s="1078">
        <f t="shared" si="62"/>
        <v>699.5</v>
      </c>
      <c r="M95" s="1078">
        <f t="shared" si="62"/>
        <v>4136452.4814668698</v>
      </c>
      <c r="N95" s="1078">
        <f t="shared" si="62"/>
        <v>-12244.900000000005</v>
      </c>
      <c r="O95" s="1078">
        <f t="shared" si="62"/>
        <v>-150000</v>
      </c>
      <c r="P95" s="1078">
        <f t="shared" si="62"/>
        <v>0</v>
      </c>
      <c r="Q95" s="1078">
        <f t="shared" si="62"/>
        <v>3974207.5814668699</v>
      </c>
      <c r="R95" s="1078">
        <f t="shared" si="62"/>
        <v>5681.4976146774407</v>
      </c>
      <c r="S95" s="1078"/>
      <c r="T95" s="1078">
        <f t="shared" si="62"/>
        <v>0</v>
      </c>
      <c r="U95" s="24"/>
      <c r="V95" s="1078">
        <f t="shared" si="62"/>
        <v>3961695.8331969064</v>
      </c>
      <c r="W95" s="1078">
        <f t="shared" si="62"/>
        <v>0</v>
      </c>
      <c r="X95" s="1078">
        <f t="shared" si="62"/>
        <v>-12511.748269963544</v>
      </c>
      <c r="Y95" s="1078">
        <f t="shared" si="62"/>
        <v>-12449.189528613726</v>
      </c>
      <c r="Z95" s="1078">
        <f t="shared" si="62"/>
        <v>-12386.63078726391</v>
      </c>
      <c r="AA95" s="1078">
        <f t="shared" si="62"/>
        <v>-12324.072045914092</v>
      </c>
      <c r="AB95" s="1078">
        <f t="shared" si="62"/>
        <v>-12261.513304564274</v>
      </c>
      <c r="AC95" s="1078">
        <f t="shared" si="62"/>
        <v>0</v>
      </c>
      <c r="AD95" s="1078">
        <f t="shared" si="62"/>
        <v>0</v>
      </c>
      <c r="AG95" s="30"/>
      <c r="AH95" s="30"/>
      <c r="AI95" s="21"/>
    </row>
    <row r="96" spans="1:42" s="11" customFormat="1" x14ac:dyDescent="0.2">
      <c r="A96" s="1"/>
      <c r="B96" s="1"/>
      <c r="C96" s="1028"/>
      <c r="L96" s="21"/>
      <c r="AG96" s="30"/>
      <c r="AH96" s="30"/>
      <c r="AI96" s="21"/>
    </row>
    <row r="97" spans="1:35" s="11" customFormat="1" ht="15" x14ac:dyDescent="0.25">
      <c r="A97" s="1" t="s">
        <v>116</v>
      </c>
      <c r="B97" s="1" t="s">
        <v>517</v>
      </c>
      <c r="C97" s="1080">
        <f>SUM(C74+C91+C95)</f>
        <v>35076.75</v>
      </c>
      <c r="D97" s="1080">
        <f t="shared" ref="D97:AD97" si="63">SUM(D74+D91+D95)</f>
        <v>139539350.16269583</v>
      </c>
      <c r="E97" s="1080">
        <f t="shared" si="63"/>
        <v>-1759886.5</v>
      </c>
      <c r="F97" s="1080">
        <f t="shared" si="63"/>
        <v>-9020000</v>
      </c>
      <c r="G97" s="1080">
        <f t="shared" si="63"/>
        <v>0</v>
      </c>
      <c r="H97" s="1080">
        <f t="shared" si="63"/>
        <v>128759463.66269584</v>
      </c>
      <c r="I97" s="1080">
        <f t="shared" si="63"/>
        <v>293219.75000563066</v>
      </c>
      <c r="J97" s="1080">
        <f t="shared" si="63"/>
        <v>288821.45375554613</v>
      </c>
      <c r="K97" s="1080"/>
      <c r="L97" s="1080">
        <f t="shared" si="63"/>
        <v>35890.5</v>
      </c>
      <c r="M97" s="1080">
        <f t="shared" si="63"/>
        <v>141918843.09507588</v>
      </c>
      <c r="N97" s="1080">
        <f t="shared" si="63"/>
        <v>-648198.32303999981</v>
      </c>
      <c r="O97" s="1080">
        <f t="shared" si="63"/>
        <v>-8950000</v>
      </c>
      <c r="P97" s="1080">
        <f t="shared" si="63"/>
        <v>-296985</v>
      </c>
      <c r="Q97" s="1080">
        <f t="shared" si="63"/>
        <v>132023659.77203591</v>
      </c>
      <c r="R97" s="1080">
        <f t="shared" si="63"/>
        <v>292905.98822750099</v>
      </c>
      <c r="S97" s="1080"/>
      <c r="T97" s="1080">
        <f t="shared" si="63"/>
        <v>1254009.9424908133</v>
      </c>
      <c r="U97" s="475"/>
      <c r="V97" s="1080">
        <f t="shared" si="63"/>
        <v>129811827.13340327</v>
      </c>
      <c r="W97" s="1080">
        <f t="shared" si="63"/>
        <v>1254009.9424908133</v>
      </c>
      <c r="X97" s="1080">
        <f t="shared" si="63"/>
        <v>-3465842.5811234526</v>
      </c>
      <c r="Y97" s="1080">
        <f t="shared" si="63"/>
        <v>-3448513.3682178357</v>
      </c>
      <c r="Z97" s="1080">
        <f t="shared" si="63"/>
        <v>-3431184.1553122182</v>
      </c>
      <c r="AA97" s="1080">
        <f t="shared" si="63"/>
        <v>-3413854.9424066003</v>
      </c>
      <c r="AB97" s="1080">
        <f t="shared" si="63"/>
        <v>-3396525.7295009838</v>
      </c>
      <c r="AC97" s="1080">
        <f t="shared" si="63"/>
        <v>0</v>
      </c>
      <c r="AD97" s="1080">
        <f t="shared" si="63"/>
        <v>452652.8974760584</v>
      </c>
      <c r="AG97" s="30"/>
      <c r="AH97" s="30">
        <f>SUM(AH2:AH96)</f>
        <v>35066</v>
      </c>
      <c r="AI97" s="21" t="s">
        <v>1262</v>
      </c>
    </row>
    <row r="98" spans="1:35" x14ac:dyDescent="0.2">
      <c r="B98" s="30"/>
      <c r="C98" s="21"/>
      <c r="H98" s="23"/>
      <c r="I98" s="23"/>
      <c r="J98" s="23"/>
      <c r="K98" s="23"/>
      <c r="L98" s="1011"/>
      <c r="AH98" s="30">
        <v>177</v>
      </c>
      <c r="AI98" s="30" t="s">
        <v>1263</v>
      </c>
    </row>
    <row r="99" spans="1:35" x14ac:dyDescent="0.2">
      <c r="B99" s="30"/>
      <c r="C99" s="21">
        <f>C97-C89-C88-C72-C16</f>
        <v>33628.75</v>
      </c>
      <c r="D99" s="21">
        <f t="shared" ref="D99:W99" si="64">D97-D89-D88-D72-D16</f>
        <v>137934429.7413725</v>
      </c>
      <c r="E99" s="21">
        <f t="shared" si="64"/>
        <v>-1741959.26</v>
      </c>
      <c r="F99" s="21">
        <f t="shared" si="64"/>
        <v>-8850000</v>
      </c>
      <c r="G99" s="21">
        <f t="shared" si="64"/>
        <v>0</v>
      </c>
      <c r="H99" s="21">
        <f t="shared" si="64"/>
        <v>127342470.48137251</v>
      </c>
      <c r="I99" s="21">
        <f t="shared" si="64"/>
        <v>289694.89134562237</v>
      </c>
      <c r="J99" s="21">
        <f t="shared" si="64"/>
        <v>285349.46797543799</v>
      </c>
      <c r="K99" s="21"/>
      <c r="L99" s="21">
        <f t="shared" si="64"/>
        <v>34425.5</v>
      </c>
      <c r="M99" s="21">
        <f t="shared" si="64"/>
        <v>140422449.63955665</v>
      </c>
      <c r="N99" s="21">
        <f t="shared" si="64"/>
        <v>-641251.40303999977</v>
      </c>
      <c r="O99" s="21">
        <f t="shared" si="64"/>
        <v>-8850000</v>
      </c>
      <c r="P99" s="21">
        <f t="shared" si="64"/>
        <v>-296985</v>
      </c>
      <c r="Q99" s="21">
        <f t="shared" si="64"/>
        <v>130634213.23651667</v>
      </c>
      <c r="R99" s="21">
        <f t="shared" si="64"/>
        <v>289589.8867107486</v>
      </c>
      <c r="S99" s="21"/>
      <c r="T99" s="21">
        <f t="shared" si="64"/>
        <v>1188694.4361447345</v>
      </c>
      <c r="V99" s="21">
        <f t="shared" si="64"/>
        <v>128357065.09153795</v>
      </c>
      <c r="W99" s="21">
        <f t="shared" si="64"/>
        <v>1188694.4361447345</v>
      </c>
      <c r="AH99" s="30">
        <f>AH98+AH97</f>
        <v>35243</v>
      </c>
      <c r="AI99" s="30" t="s">
        <v>85</v>
      </c>
    </row>
    <row r="100" spans="1:35" x14ac:dyDescent="0.2">
      <c r="B100" s="30"/>
      <c r="C100" s="21"/>
      <c r="H100" s="23"/>
      <c r="I100" s="23"/>
      <c r="J100" s="23"/>
      <c r="K100" s="23"/>
      <c r="L100" s="1011"/>
      <c r="AH100" s="30">
        <v>35243</v>
      </c>
      <c r="AI100" s="30" t="s">
        <v>1087</v>
      </c>
    </row>
    <row r="101" spans="1:35" x14ac:dyDescent="0.2">
      <c r="B101" s="30"/>
      <c r="C101" s="21">
        <f>C97-C89-C88-C72</f>
        <v>34030.75</v>
      </c>
      <c r="H101" s="23"/>
      <c r="I101" s="23"/>
      <c r="J101" s="23"/>
      <c r="K101" s="23"/>
      <c r="AH101" s="30">
        <f>AH99-AH100</f>
        <v>0</v>
      </c>
    </row>
    <row r="102" spans="1:35" x14ac:dyDescent="0.2">
      <c r="B102" s="30"/>
      <c r="C102" s="21"/>
      <c r="H102" s="23"/>
      <c r="I102" s="23"/>
      <c r="J102" s="23"/>
      <c r="K102" s="23"/>
      <c r="L102" s="1011"/>
      <c r="AH102" s="30">
        <v>118.75</v>
      </c>
      <c r="AI102" s="30" t="s">
        <v>1264</v>
      </c>
    </row>
    <row r="103" spans="1:35" x14ac:dyDescent="0.2">
      <c r="B103" s="30"/>
      <c r="C103" s="21"/>
      <c r="H103" s="23"/>
      <c r="I103" s="23"/>
      <c r="J103" s="23"/>
      <c r="K103" s="23"/>
      <c r="L103" s="1011"/>
      <c r="M103" s="30"/>
      <c r="N103" s="30"/>
      <c r="O103" s="30"/>
      <c r="P103" s="30"/>
      <c r="Q103" s="30"/>
      <c r="R103" s="30"/>
    </row>
    <row r="104" spans="1:35" s="11" customFormat="1" x14ac:dyDescent="0.2">
      <c r="A104" s="9"/>
      <c r="B104" s="26"/>
      <c r="C104" s="1028"/>
      <c r="L104" s="21"/>
    </row>
    <row r="105" spans="1:35" x14ac:dyDescent="0.2">
      <c r="B105" s="30"/>
      <c r="C105" s="21"/>
      <c r="H105" s="23"/>
      <c r="I105" s="23"/>
      <c r="J105" s="23"/>
      <c r="K105" s="23"/>
      <c r="L105" s="1011"/>
      <c r="M105" s="30"/>
      <c r="N105" s="30"/>
      <c r="O105" s="30"/>
      <c r="P105" s="30"/>
      <c r="Q105" s="30"/>
      <c r="R105" s="30"/>
    </row>
    <row r="106" spans="1:35" x14ac:dyDescent="0.2">
      <c r="AH106" s="11"/>
    </row>
    <row r="107" spans="1:35" x14ac:dyDescent="0.2">
      <c r="A107" s="79" t="s">
        <v>249</v>
      </c>
      <c r="B107" s="79">
        <v>206189</v>
      </c>
      <c r="AH107" s="11"/>
    </row>
    <row r="108" spans="1:35" x14ac:dyDescent="0.2">
      <c r="A108" s="1158" t="s">
        <v>10</v>
      </c>
      <c r="B108" s="94">
        <v>2012</v>
      </c>
    </row>
    <row r="109" spans="1:35" x14ac:dyDescent="0.2">
      <c r="A109" s="1158" t="s">
        <v>73</v>
      </c>
      <c r="B109" s="94">
        <v>5414</v>
      </c>
    </row>
    <row r="110" spans="1:35" x14ac:dyDescent="0.2">
      <c r="A110" s="1158" t="s">
        <v>912</v>
      </c>
      <c r="B110" s="94">
        <v>4000</v>
      </c>
    </row>
    <row r="111" spans="1:35" x14ac:dyDescent="0.2">
      <c r="A111" s="79" t="s">
        <v>11</v>
      </c>
      <c r="B111" s="79">
        <v>2443</v>
      </c>
    </row>
    <row r="112" spans="1:35" x14ac:dyDescent="0.2">
      <c r="A112" s="1158" t="s">
        <v>94</v>
      </c>
      <c r="B112" s="94">
        <v>2442</v>
      </c>
    </row>
    <row r="113" spans="1:2" x14ac:dyDescent="0.2">
      <c r="A113" s="80" t="s">
        <v>252</v>
      </c>
      <c r="B113" s="80" t="s">
        <v>253</v>
      </c>
    </row>
    <row r="114" spans="1:2" x14ac:dyDescent="0.2">
      <c r="A114" s="79" t="s">
        <v>13</v>
      </c>
      <c r="B114" s="79">
        <v>2629</v>
      </c>
    </row>
    <row r="115" spans="1:2" x14ac:dyDescent="0.2">
      <c r="A115" s="1158" t="s">
        <v>14</v>
      </c>
      <c r="B115" s="94">
        <v>2509</v>
      </c>
    </row>
    <row r="116" spans="1:2" x14ac:dyDescent="0.2">
      <c r="A116" s="79" t="s">
        <v>2</v>
      </c>
      <c r="B116" s="79">
        <v>1014</v>
      </c>
    </row>
    <row r="117" spans="1:2" x14ac:dyDescent="0.2">
      <c r="A117" s="1158" t="s">
        <v>15</v>
      </c>
      <c r="B117" s="94">
        <v>2005</v>
      </c>
    </row>
    <row r="118" spans="1:2" x14ac:dyDescent="0.2">
      <c r="A118" s="79" t="s">
        <v>16</v>
      </c>
      <c r="B118" s="79">
        <v>2464</v>
      </c>
    </row>
    <row r="119" spans="1:2" x14ac:dyDescent="0.2">
      <c r="A119" s="661" t="s">
        <v>763</v>
      </c>
      <c r="B119" s="697" t="s">
        <v>765</v>
      </c>
    </row>
    <row r="120" spans="1:2" x14ac:dyDescent="0.2">
      <c r="A120" s="79" t="s">
        <v>17</v>
      </c>
      <c r="B120" s="79">
        <v>2004</v>
      </c>
    </row>
    <row r="121" spans="1:2" x14ac:dyDescent="0.2">
      <c r="A121" s="79" t="s">
        <v>18</v>
      </c>
      <c r="B121" s="79">
        <v>2405</v>
      </c>
    </row>
    <row r="122" spans="1:2" x14ac:dyDescent="0.2">
      <c r="A122" s="79" t="s">
        <v>254</v>
      </c>
      <c r="B122" s="79" t="s">
        <v>256</v>
      </c>
    </row>
    <row r="123" spans="1:2" ht="15" x14ac:dyDescent="0.25">
      <c r="A123" s="1160" t="s">
        <v>261</v>
      </c>
      <c r="B123" s="1162" t="s">
        <v>766</v>
      </c>
    </row>
    <row r="124" spans="1:2" x14ac:dyDescent="0.2">
      <c r="A124" s="1163" t="s">
        <v>257</v>
      </c>
      <c r="B124" s="1164" t="s">
        <v>258</v>
      </c>
    </row>
    <row r="125" spans="1:2" x14ac:dyDescent="0.2">
      <c r="A125" s="1160" t="s">
        <v>259</v>
      </c>
      <c r="B125" s="1165" t="s">
        <v>260</v>
      </c>
    </row>
    <row r="126" spans="1:2" x14ac:dyDescent="0.2">
      <c r="A126" s="79" t="s">
        <v>19</v>
      </c>
      <c r="B126" s="79">
        <v>2011</v>
      </c>
    </row>
    <row r="127" spans="1:2" x14ac:dyDescent="0.2">
      <c r="A127" s="80" t="s">
        <v>262</v>
      </c>
      <c r="B127" s="80" t="s">
        <v>263</v>
      </c>
    </row>
    <row r="128" spans="1:2" x14ac:dyDescent="0.2">
      <c r="A128" s="79" t="s">
        <v>20</v>
      </c>
      <c r="B128" s="79">
        <v>5201</v>
      </c>
    </row>
    <row r="129" spans="1:2" x14ac:dyDescent="0.2">
      <c r="A129" s="79" t="s">
        <v>264</v>
      </c>
      <c r="B129" s="79">
        <v>206124</v>
      </c>
    </row>
    <row r="130" spans="1:2" x14ac:dyDescent="0.2">
      <c r="A130" s="79" t="s">
        <v>21</v>
      </c>
      <c r="B130" s="79">
        <v>2433</v>
      </c>
    </row>
    <row r="131" spans="1:2" x14ac:dyDescent="0.2">
      <c r="A131" s="1158" t="s">
        <v>22</v>
      </c>
      <c r="B131" s="94">
        <v>2432</v>
      </c>
    </row>
    <row r="132" spans="1:2" x14ac:dyDescent="0.2">
      <c r="A132" s="79" t="s">
        <v>267</v>
      </c>
      <c r="B132" s="79" t="s">
        <v>269</v>
      </c>
    </row>
    <row r="133" spans="1:2" x14ac:dyDescent="0.2">
      <c r="A133" s="79" t="s">
        <v>199</v>
      </c>
      <c r="B133" s="79">
        <v>2447</v>
      </c>
    </row>
    <row r="134" spans="1:2" x14ac:dyDescent="0.2">
      <c r="A134" s="79" t="s">
        <v>23</v>
      </c>
      <c r="B134" s="79">
        <v>2512</v>
      </c>
    </row>
    <row r="135" spans="1:2" x14ac:dyDescent="0.2">
      <c r="A135" s="79" t="s">
        <v>270</v>
      </c>
      <c r="B135" s="79">
        <v>206126</v>
      </c>
    </row>
    <row r="136" spans="1:2" x14ac:dyDescent="0.2">
      <c r="A136" s="79" t="s">
        <v>272</v>
      </c>
      <c r="B136" s="79">
        <v>206111</v>
      </c>
    </row>
    <row r="137" spans="1:2" x14ac:dyDescent="0.2">
      <c r="A137" s="79" t="s">
        <v>274</v>
      </c>
      <c r="B137" s="79">
        <v>206091</v>
      </c>
    </row>
    <row r="138" spans="1:2" x14ac:dyDescent="0.2">
      <c r="A138" s="79" t="s">
        <v>24</v>
      </c>
      <c r="B138" s="79">
        <v>2456</v>
      </c>
    </row>
    <row r="139" spans="1:2" x14ac:dyDescent="0.2">
      <c r="A139" s="79" t="s">
        <v>3</v>
      </c>
      <c r="B139" s="79">
        <v>1017</v>
      </c>
    </row>
    <row r="140" spans="1:2" x14ac:dyDescent="0.2">
      <c r="A140" s="79" t="s">
        <v>25</v>
      </c>
      <c r="B140" s="79">
        <v>2449</v>
      </c>
    </row>
    <row r="141" spans="1:2" x14ac:dyDescent="0.2">
      <c r="A141" s="1158" t="s">
        <v>26</v>
      </c>
      <c r="B141" s="79">
        <v>2448</v>
      </c>
    </row>
    <row r="142" spans="1:2" x14ac:dyDescent="0.2">
      <c r="A142" s="79" t="s">
        <v>4</v>
      </c>
      <c r="B142" s="79">
        <v>1006</v>
      </c>
    </row>
    <row r="143" spans="1:2" x14ac:dyDescent="0.2">
      <c r="A143" s="79" t="s">
        <v>27</v>
      </c>
      <c r="B143" s="79">
        <v>2467</v>
      </c>
    </row>
    <row r="144" spans="1:2" x14ac:dyDescent="0.2">
      <c r="A144" s="1158" t="s">
        <v>75</v>
      </c>
      <c r="B144" s="94">
        <v>5402</v>
      </c>
    </row>
    <row r="145" spans="1:2" x14ac:dyDescent="0.2">
      <c r="A145" s="1158" t="s">
        <v>28</v>
      </c>
      <c r="B145" s="94">
        <v>2455</v>
      </c>
    </row>
    <row r="146" spans="1:2" x14ac:dyDescent="0.2">
      <c r="A146" s="1158" t="s">
        <v>29</v>
      </c>
      <c r="B146" s="94">
        <v>5203</v>
      </c>
    </row>
    <row r="147" spans="1:2" x14ac:dyDescent="0.2">
      <c r="A147" s="107" t="s">
        <v>30</v>
      </c>
      <c r="B147" s="79">
        <v>2451</v>
      </c>
    </row>
    <row r="148" spans="1:2" x14ac:dyDescent="0.2">
      <c r="A148" s="80" t="s">
        <v>276</v>
      </c>
      <c r="B148" s="80" t="s">
        <v>277</v>
      </c>
    </row>
    <row r="149" spans="1:2" x14ac:dyDescent="0.2">
      <c r="A149" s="79" t="s">
        <v>278</v>
      </c>
      <c r="B149" s="79">
        <v>206128</v>
      </c>
    </row>
    <row r="150" spans="1:2" x14ac:dyDescent="0.2">
      <c r="A150" s="1158" t="s">
        <v>452</v>
      </c>
      <c r="B150" s="94">
        <v>4002</v>
      </c>
    </row>
    <row r="151" spans="1:2" x14ac:dyDescent="0.2">
      <c r="A151" s="456" t="s">
        <v>455</v>
      </c>
      <c r="B151" s="79">
        <v>2430</v>
      </c>
    </row>
    <row r="152" spans="1:2" x14ac:dyDescent="0.2">
      <c r="A152" s="1167" t="s">
        <v>768</v>
      </c>
      <c r="B152" s="1169" t="s">
        <v>769</v>
      </c>
    </row>
    <row r="153" spans="1:2" x14ac:dyDescent="0.2">
      <c r="A153" s="1158" t="s">
        <v>68</v>
      </c>
      <c r="B153" s="94">
        <v>4608</v>
      </c>
    </row>
    <row r="154" spans="1:2" x14ac:dyDescent="0.2">
      <c r="A154" s="1158" t="s">
        <v>31</v>
      </c>
      <c r="B154" s="94">
        <v>2409</v>
      </c>
    </row>
    <row r="155" spans="1:2" x14ac:dyDescent="0.2">
      <c r="A155" s="1170" t="s">
        <v>281</v>
      </c>
      <c r="B155" s="1168" t="s">
        <v>282</v>
      </c>
    </row>
    <row r="156" spans="1:2" x14ac:dyDescent="0.2">
      <c r="A156" s="1171" t="s">
        <v>1401</v>
      </c>
      <c r="B156" s="1173" t="s">
        <v>771</v>
      </c>
    </row>
    <row r="157" spans="1:2" x14ac:dyDescent="0.2">
      <c r="A157" s="1174" t="s">
        <v>539</v>
      </c>
      <c r="B157" s="96">
        <v>205921</v>
      </c>
    </row>
    <row r="158" spans="1:2" x14ac:dyDescent="0.2">
      <c r="A158" s="1171" t="s">
        <v>1372</v>
      </c>
      <c r="B158" s="1154" t="s">
        <v>776</v>
      </c>
    </row>
    <row r="159" spans="1:2" x14ac:dyDescent="0.2">
      <c r="A159" s="1174" t="s">
        <v>538</v>
      </c>
      <c r="B159" s="96">
        <v>205999</v>
      </c>
    </row>
    <row r="160" spans="1:2" x14ac:dyDescent="0.2">
      <c r="A160" s="96" t="s">
        <v>537</v>
      </c>
      <c r="B160" s="95" t="s">
        <v>283</v>
      </c>
    </row>
    <row r="161" spans="1:2" x14ac:dyDescent="0.2">
      <c r="A161" s="1171" t="s">
        <v>1373</v>
      </c>
      <c r="B161" s="1153">
        <v>206065</v>
      </c>
    </row>
    <row r="162" spans="1:2" x14ac:dyDescent="0.2">
      <c r="A162" s="1175" t="s">
        <v>1375</v>
      </c>
      <c r="B162" s="1154" t="s">
        <v>787</v>
      </c>
    </row>
    <row r="163" spans="1:2" x14ac:dyDescent="0.2">
      <c r="A163" s="456" t="s">
        <v>589</v>
      </c>
      <c r="B163" s="1176" t="s">
        <v>288</v>
      </c>
    </row>
    <row r="164" spans="1:2" x14ac:dyDescent="0.2">
      <c r="A164" s="1177" t="s">
        <v>540</v>
      </c>
      <c r="B164" s="96">
        <v>205922</v>
      </c>
    </row>
    <row r="165" spans="1:2" x14ac:dyDescent="0.2">
      <c r="A165" s="456" t="s">
        <v>587</v>
      </c>
      <c r="B165" s="1154" t="s">
        <v>784</v>
      </c>
    </row>
    <row r="166" spans="1:2" x14ac:dyDescent="0.2">
      <c r="A166" s="1171" t="s">
        <v>1374</v>
      </c>
      <c r="B166" s="1154" t="s">
        <v>781</v>
      </c>
    </row>
    <row r="167" spans="1:2" x14ac:dyDescent="0.2">
      <c r="A167" s="1171" t="s">
        <v>1376</v>
      </c>
      <c r="B167" s="1178">
        <v>205919</v>
      </c>
    </row>
    <row r="168" spans="1:2" x14ac:dyDescent="0.2">
      <c r="A168" s="96" t="s">
        <v>541</v>
      </c>
      <c r="B168" s="95" t="s">
        <v>287</v>
      </c>
    </row>
    <row r="169" spans="1:2" x14ac:dyDescent="0.2">
      <c r="A169" s="1171" t="s">
        <v>1377</v>
      </c>
      <c r="B169" s="1179" t="s">
        <v>791</v>
      </c>
    </row>
    <row r="170" spans="1:2" x14ac:dyDescent="0.2">
      <c r="A170" s="1171" t="s">
        <v>1378</v>
      </c>
      <c r="B170" s="1169" t="s">
        <v>793</v>
      </c>
    </row>
    <row r="171" spans="1:2" x14ac:dyDescent="0.2">
      <c r="A171" s="1180" t="s">
        <v>1380</v>
      </c>
      <c r="B171" s="1154" t="s">
        <v>796</v>
      </c>
    </row>
    <row r="172" spans="1:2" x14ac:dyDescent="0.2">
      <c r="A172" s="1181" t="s">
        <v>1379</v>
      </c>
      <c r="B172" s="697">
        <v>205849</v>
      </c>
    </row>
    <row r="173" spans="1:2" x14ac:dyDescent="0.2">
      <c r="A173" s="456" t="s">
        <v>594</v>
      </c>
      <c r="B173" s="1176" t="s">
        <v>284</v>
      </c>
    </row>
    <row r="174" spans="1:2" x14ac:dyDescent="0.2">
      <c r="A174" s="1182" t="s">
        <v>1381</v>
      </c>
      <c r="B174" s="1154" t="s">
        <v>798</v>
      </c>
    </row>
    <row r="175" spans="1:2" x14ac:dyDescent="0.2">
      <c r="A175" s="1183" t="s">
        <v>1385</v>
      </c>
      <c r="B175" s="1184">
        <v>205922</v>
      </c>
    </row>
    <row r="176" spans="1:2" x14ac:dyDescent="0.2">
      <c r="A176" s="1185" t="s">
        <v>1384</v>
      </c>
      <c r="B176" s="1179">
        <v>205881</v>
      </c>
    </row>
    <row r="177" spans="1:2" x14ac:dyDescent="0.2">
      <c r="A177" s="1186" t="s">
        <v>1382</v>
      </c>
      <c r="B177" s="1187" t="s">
        <v>801</v>
      </c>
    </row>
    <row r="178" spans="1:2" x14ac:dyDescent="0.2">
      <c r="A178" s="1174" t="s">
        <v>542</v>
      </c>
      <c r="B178" s="96" t="s">
        <v>289</v>
      </c>
    </row>
    <row r="179" spans="1:2" x14ac:dyDescent="0.2">
      <c r="A179" s="1171" t="s">
        <v>1383</v>
      </c>
      <c r="B179" s="1179" t="s">
        <v>806</v>
      </c>
    </row>
    <row r="180" spans="1:2" x14ac:dyDescent="0.2">
      <c r="A180" s="1185" t="s">
        <v>807</v>
      </c>
      <c r="B180" s="1179" t="s">
        <v>808</v>
      </c>
    </row>
    <row r="181" spans="1:2" x14ac:dyDescent="0.2">
      <c r="A181" s="1185" t="s">
        <v>1386</v>
      </c>
      <c r="B181" s="1189" t="s">
        <v>811</v>
      </c>
    </row>
    <row r="182" spans="1:2" x14ac:dyDescent="0.2">
      <c r="A182" s="1181" t="s">
        <v>543</v>
      </c>
      <c r="B182" s="96">
        <v>2</v>
      </c>
    </row>
    <row r="183" spans="1:2" x14ac:dyDescent="0.2">
      <c r="A183" s="1192" t="s">
        <v>1387</v>
      </c>
      <c r="B183" s="1150" t="s">
        <v>668</v>
      </c>
    </row>
    <row r="184" spans="1:2" x14ac:dyDescent="0.2">
      <c r="A184" s="693" t="s">
        <v>1388</v>
      </c>
      <c r="B184" s="1179" t="s">
        <v>686</v>
      </c>
    </row>
    <row r="185" spans="1:2" x14ac:dyDescent="0.2">
      <c r="A185" s="96" t="s">
        <v>544</v>
      </c>
      <c r="B185" s="1184">
        <v>205956</v>
      </c>
    </row>
    <row r="186" spans="1:2" x14ac:dyDescent="0.2">
      <c r="A186" s="702" t="s">
        <v>1389</v>
      </c>
      <c r="B186" s="1169">
        <v>260849</v>
      </c>
    </row>
    <row r="187" spans="1:2" x14ac:dyDescent="0.2">
      <c r="A187" s="693" t="s">
        <v>1390</v>
      </c>
      <c r="B187" s="1169" t="s">
        <v>818</v>
      </c>
    </row>
    <row r="188" spans="1:2" x14ac:dyDescent="0.2">
      <c r="A188" s="1193" t="s">
        <v>1391</v>
      </c>
      <c r="B188" s="1165" t="s">
        <v>291</v>
      </c>
    </row>
    <row r="189" spans="1:2" x14ac:dyDescent="0.2">
      <c r="A189" s="1145" t="s">
        <v>1392</v>
      </c>
      <c r="B189" s="1154" t="s">
        <v>821</v>
      </c>
    </row>
    <row r="190" spans="1:2" x14ac:dyDescent="0.2">
      <c r="A190" s="1142" t="s">
        <v>1394</v>
      </c>
      <c r="B190" s="1154" t="s">
        <v>825</v>
      </c>
    </row>
    <row r="191" spans="1:2" x14ac:dyDescent="0.2">
      <c r="A191" s="1142" t="s">
        <v>1393</v>
      </c>
      <c r="B191" s="1189" t="s">
        <v>823</v>
      </c>
    </row>
    <row r="192" spans="1:2" x14ac:dyDescent="0.2">
      <c r="A192" s="583" t="s">
        <v>1396</v>
      </c>
      <c r="B192" s="1154" t="s">
        <v>830</v>
      </c>
    </row>
    <row r="193" spans="1:2" x14ac:dyDescent="0.2">
      <c r="A193" s="1143" t="s">
        <v>1395</v>
      </c>
      <c r="B193" s="1154" t="s">
        <v>827</v>
      </c>
    </row>
    <row r="194" spans="1:2" x14ac:dyDescent="0.2">
      <c r="A194" s="1181" t="s">
        <v>591</v>
      </c>
      <c r="B194" s="95" t="s">
        <v>293</v>
      </c>
    </row>
    <row r="195" spans="1:2" x14ac:dyDescent="0.2">
      <c r="A195" s="1142" t="s">
        <v>1402</v>
      </c>
      <c r="B195" s="697" t="s">
        <v>833</v>
      </c>
    </row>
    <row r="196" spans="1:2" x14ac:dyDescent="0.2">
      <c r="A196" s="1142" t="s">
        <v>1403</v>
      </c>
      <c r="B196" s="1154" t="s">
        <v>835</v>
      </c>
    </row>
    <row r="197" spans="1:2" x14ac:dyDescent="0.2">
      <c r="A197" s="1174" t="s">
        <v>547</v>
      </c>
      <c r="B197" s="95" t="s">
        <v>295</v>
      </c>
    </row>
    <row r="198" spans="1:2" x14ac:dyDescent="0.2">
      <c r="A198" s="1148" t="s">
        <v>1397</v>
      </c>
      <c r="B198" s="1154">
        <v>206031</v>
      </c>
    </row>
    <row r="199" spans="1:2" x14ac:dyDescent="0.2">
      <c r="A199" s="1174" t="s">
        <v>546</v>
      </c>
      <c r="B199" s="95" t="s">
        <v>296</v>
      </c>
    </row>
    <row r="200" spans="1:2" x14ac:dyDescent="0.2">
      <c r="A200" s="96" t="s">
        <v>545</v>
      </c>
      <c r="B200" s="95" t="s">
        <v>294</v>
      </c>
    </row>
    <row r="201" spans="1:2" x14ac:dyDescent="0.2">
      <c r="A201" s="1143" t="s">
        <v>1398</v>
      </c>
      <c r="B201" s="1154" t="s">
        <v>840</v>
      </c>
    </row>
    <row r="202" spans="1:2" x14ac:dyDescent="0.2">
      <c r="A202" s="96" t="s">
        <v>1371</v>
      </c>
      <c r="B202" s="95" t="s">
        <v>298</v>
      </c>
    </row>
    <row r="203" spans="1:2" x14ac:dyDescent="0.2">
      <c r="A203" s="1143" t="s">
        <v>1407</v>
      </c>
      <c r="B203" s="1179" t="s">
        <v>844</v>
      </c>
    </row>
    <row r="204" spans="1:2" x14ac:dyDescent="0.2">
      <c r="A204" s="1181" t="s">
        <v>592</v>
      </c>
      <c r="B204" s="1184">
        <v>206043</v>
      </c>
    </row>
    <row r="205" spans="1:2" x14ac:dyDescent="0.2">
      <c r="A205" s="1177" t="s">
        <v>548</v>
      </c>
      <c r="B205" s="95" t="s">
        <v>299</v>
      </c>
    </row>
    <row r="206" spans="1:2" x14ac:dyDescent="0.2">
      <c r="A206" s="1194" t="s">
        <v>590</v>
      </c>
      <c r="B206" s="1195" t="s">
        <v>292</v>
      </c>
    </row>
    <row r="207" spans="1:2" x14ac:dyDescent="0.2">
      <c r="A207" s="1196" t="s">
        <v>593</v>
      </c>
      <c r="B207" s="1197" t="s">
        <v>297</v>
      </c>
    </row>
    <row r="208" spans="1:2" x14ac:dyDescent="0.2">
      <c r="A208" s="1143" t="s">
        <v>1406</v>
      </c>
      <c r="B208" s="1154">
        <v>206067</v>
      </c>
    </row>
    <row r="209" spans="1:2" ht="15" x14ac:dyDescent="0.2">
      <c r="A209" s="1177" t="s">
        <v>549</v>
      </c>
      <c r="B209" s="97" t="s">
        <v>300</v>
      </c>
    </row>
    <row r="210" spans="1:2" x14ac:dyDescent="0.2">
      <c r="A210" s="1190" t="s">
        <v>1400</v>
      </c>
      <c r="B210" s="1191" t="s">
        <v>290</v>
      </c>
    </row>
    <row r="211" spans="1:2" x14ac:dyDescent="0.2">
      <c r="A211" s="1198" t="s">
        <v>550</v>
      </c>
      <c r="B211" s="98" t="s">
        <v>301</v>
      </c>
    </row>
    <row r="212" spans="1:2" x14ac:dyDescent="0.2">
      <c r="A212" s="1147" t="s">
        <v>1404</v>
      </c>
      <c r="B212" s="1209" t="s">
        <v>854</v>
      </c>
    </row>
    <row r="213" spans="1:2" x14ac:dyDescent="0.2">
      <c r="A213" s="456" t="s">
        <v>595</v>
      </c>
      <c r="B213" s="1176" t="s">
        <v>285</v>
      </c>
    </row>
    <row r="214" spans="1:2" x14ac:dyDescent="0.2">
      <c r="A214" s="1147" t="s">
        <v>1405</v>
      </c>
      <c r="B214" s="1209" t="s">
        <v>856</v>
      </c>
    </row>
    <row r="215" spans="1:2" x14ac:dyDescent="0.2">
      <c r="A215" s="87" t="s">
        <v>302</v>
      </c>
      <c r="B215" s="88" t="s">
        <v>303</v>
      </c>
    </row>
    <row r="216" spans="1:2" x14ac:dyDescent="0.2">
      <c r="A216" s="79" t="s">
        <v>304</v>
      </c>
      <c r="B216" s="79" t="s">
        <v>306</v>
      </c>
    </row>
    <row r="217" spans="1:2" x14ac:dyDescent="0.2">
      <c r="A217" s="1144" t="s">
        <v>858</v>
      </c>
      <c r="B217" s="1169" t="s">
        <v>859</v>
      </c>
    </row>
    <row r="218" spans="1:2" x14ac:dyDescent="0.2">
      <c r="A218" s="1158" t="s">
        <v>111</v>
      </c>
      <c r="B218" s="94">
        <v>4178</v>
      </c>
    </row>
    <row r="219" spans="1:2" x14ac:dyDescent="0.2">
      <c r="A219" s="1158" t="s">
        <v>98</v>
      </c>
      <c r="B219" s="94">
        <v>3158</v>
      </c>
    </row>
    <row r="220" spans="1:2" x14ac:dyDescent="0.2">
      <c r="A220" s="79" t="s">
        <v>32</v>
      </c>
      <c r="B220" s="79">
        <v>2619</v>
      </c>
    </row>
    <row r="221" spans="1:2" x14ac:dyDescent="0.2">
      <c r="A221" s="1141" t="s">
        <v>860</v>
      </c>
      <c r="B221" s="1154" t="s">
        <v>861</v>
      </c>
    </row>
    <row r="222" spans="1:2" x14ac:dyDescent="0.2">
      <c r="A222" s="79" t="s">
        <v>307</v>
      </c>
      <c r="B222" s="80" t="s">
        <v>308</v>
      </c>
    </row>
    <row r="223" spans="1:2" x14ac:dyDescent="0.2">
      <c r="A223" s="79" t="s">
        <v>309</v>
      </c>
      <c r="B223" s="79">
        <v>258417</v>
      </c>
    </row>
    <row r="224" spans="1:2" x14ac:dyDescent="0.2">
      <c r="A224" s="79" t="s">
        <v>311</v>
      </c>
      <c r="B224" s="79" t="s">
        <v>313</v>
      </c>
    </row>
    <row r="225" spans="1:2" x14ac:dyDescent="0.2">
      <c r="A225" s="79" t="s">
        <v>314</v>
      </c>
      <c r="B225" s="79" t="s">
        <v>316</v>
      </c>
    </row>
    <row r="226" spans="1:2" x14ac:dyDescent="0.2">
      <c r="A226" s="79" t="s">
        <v>33</v>
      </c>
      <c r="B226" s="79">
        <v>2518</v>
      </c>
    </row>
    <row r="227" spans="1:2" x14ac:dyDescent="0.2">
      <c r="A227" s="1141" t="s">
        <v>862</v>
      </c>
      <c r="B227" s="1210" t="s">
        <v>863</v>
      </c>
    </row>
    <row r="228" spans="1:2" x14ac:dyDescent="0.2">
      <c r="A228" s="79" t="s">
        <v>317</v>
      </c>
      <c r="B228" s="79">
        <v>206106</v>
      </c>
    </row>
    <row r="229" spans="1:2" x14ac:dyDescent="0.2">
      <c r="A229" s="80" t="s">
        <v>319</v>
      </c>
      <c r="B229" s="80" t="s">
        <v>320</v>
      </c>
    </row>
    <row r="230" spans="1:2" x14ac:dyDescent="0.2">
      <c r="A230" s="1144" t="s">
        <v>864</v>
      </c>
      <c r="B230" s="1169" t="s">
        <v>865</v>
      </c>
    </row>
    <row r="231" spans="1:2" x14ac:dyDescent="0.2">
      <c r="A231" s="1158" t="s">
        <v>34</v>
      </c>
      <c r="B231" s="94">
        <v>2457</v>
      </c>
    </row>
    <row r="232" spans="1:2" x14ac:dyDescent="0.2">
      <c r="A232" s="1158" t="s">
        <v>99</v>
      </c>
      <c r="B232" s="79">
        <v>2010</v>
      </c>
    </row>
    <row r="233" spans="1:2" x14ac:dyDescent="0.2">
      <c r="A233" s="79" t="s">
        <v>35</v>
      </c>
      <c r="B233" s="79">
        <v>2002</v>
      </c>
    </row>
    <row r="234" spans="1:2" x14ac:dyDescent="0.2">
      <c r="A234" s="79" t="s">
        <v>36</v>
      </c>
      <c r="B234" s="79">
        <v>3544</v>
      </c>
    </row>
    <row r="235" spans="1:2" x14ac:dyDescent="0.2">
      <c r="A235" s="79" t="s">
        <v>5</v>
      </c>
      <c r="B235" s="79">
        <v>1008</v>
      </c>
    </row>
    <row r="236" spans="1:2" x14ac:dyDescent="0.2">
      <c r="A236" s="79" t="s">
        <v>321</v>
      </c>
      <c r="B236" s="79" t="s">
        <v>322</v>
      </c>
    </row>
    <row r="237" spans="1:2" x14ac:dyDescent="0.2">
      <c r="A237" s="79" t="s">
        <v>100</v>
      </c>
      <c r="B237" s="79">
        <v>2006</v>
      </c>
    </row>
    <row r="238" spans="1:2" x14ac:dyDescent="0.2">
      <c r="A238" s="80" t="s">
        <v>323</v>
      </c>
      <c r="B238" s="80" t="s">
        <v>324</v>
      </c>
    </row>
    <row r="239" spans="1:2" x14ac:dyDescent="0.2">
      <c r="A239" s="79" t="s">
        <v>325</v>
      </c>
      <c r="B239" s="79">
        <v>206133</v>
      </c>
    </row>
    <row r="240" spans="1:2" x14ac:dyDescent="0.2">
      <c r="A240" s="1149" t="s">
        <v>867</v>
      </c>
      <c r="B240" s="1169" t="s">
        <v>868</v>
      </c>
    </row>
    <row r="241" spans="1:2" x14ac:dyDescent="0.2">
      <c r="A241" s="79" t="s">
        <v>327</v>
      </c>
      <c r="B241" s="79" t="s">
        <v>329</v>
      </c>
    </row>
    <row r="242" spans="1:2" x14ac:dyDescent="0.2">
      <c r="A242" s="79" t="s">
        <v>330</v>
      </c>
      <c r="B242" s="79">
        <v>206134</v>
      </c>
    </row>
    <row r="243" spans="1:2" x14ac:dyDescent="0.2">
      <c r="A243" s="79" t="s">
        <v>334</v>
      </c>
      <c r="B243" s="79" t="s">
        <v>335</v>
      </c>
    </row>
    <row r="244" spans="1:2" x14ac:dyDescent="0.2">
      <c r="A244" s="1199" t="s">
        <v>332</v>
      </c>
      <c r="B244" s="1200" t="s">
        <v>333</v>
      </c>
    </row>
    <row r="245" spans="1:2" x14ac:dyDescent="0.2">
      <c r="A245" s="79" t="s">
        <v>336</v>
      </c>
      <c r="B245" s="79" t="s">
        <v>337</v>
      </c>
    </row>
    <row r="246" spans="1:2" x14ac:dyDescent="0.2">
      <c r="A246" s="79" t="s">
        <v>338</v>
      </c>
      <c r="B246" s="79">
        <v>206109</v>
      </c>
    </row>
    <row r="247" spans="1:2" x14ac:dyDescent="0.2">
      <c r="A247" s="79" t="s">
        <v>37</v>
      </c>
      <c r="B247" s="79">
        <v>2434</v>
      </c>
    </row>
    <row r="248" spans="1:2" x14ac:dyDescent="0.2">
      <c r="A248" s="1161" t="s">
        <v>597</v>
      </c>
      <c r="B248" s="147">
        <v>6905</v>
      </c>
    </row>
    <row r="249" spans="1:2" x14ac:dyDescent="0.2">
      <c r="A249" s="1158" t="s">
        <v>42</v>
      </c>
      <c r="B249" s="94">
        <v>2009</v>
      </c>
    </row>
    <row r="250" spans="1:2" x14ac:dyDescent="0.2">
      <c r="A250" s="1158" t="s">
        <v>38</v>
      </c>
      <c r="B250" s="94">
        <v>2522</v>
      </c>
    </row>
    <row r="251" spans="1:2" x14ac:dyDescent="0.2">
      <c r="A251" s="79" t="s">
        <v>340</v>
      </c>
      <c r="B251" s="79">
        <v>206110</v>
      </c>
    </row>
    <row r="252" spans="1:2" x14ac:dyDescent="0.2">
      <c r="A252" s="79" t="s">
        <v>342</v>
      </c>
      <c r="B252" s="79">
        <v>206135</v>
      </c>
    </row>
    <row r="253" spans="1:2" x14ac:dyDescent="0.2">
      <c r="A253" s="1158" t="s">
        <v>69</v>
      </c>
      <c r="B253" s="94">
        <v>4181</v>
      </c>
    </row>
    <row r="254" spans="1:2" x14ac:dyDescent="0.2">
      <c r="A254" s="79" t="s">
        <v>344</v>
      </c>
      <c r="B254" s="79">
        <v>509195</v>
      </c>
    </row>
    <row r="255" spans="1:2" x14ac:dyDescent="0.2">
      <c r="A255" s="87" t="s">
        <v>346</v>
      </c>
      <c r="B255" s="88" t="s">
        <v>347</v>
      </c>
    </row>
    <row r="256" spans="1:2" x14ac:dyDescent="0.2">
      <c r="A256" s="1201" t="s">
        <v>348</v>
      </c>
      <c r="B256" s="1202" t="s">
        <v>349</v>
      </c>
    </row>
    <row r="257" spans="1:2" x14ac:dyDescent="0.2">
      <c r="A257" s="79" t="s">
        <v>350</v>
      </c>
      <c r="B257" s="79" t="s">
        <v>352</v>
      </c>
    </row>
    <row r="258" spans="1:2" x14ac:dyDescent="0.2">
      <c r="A258" s="79" t="s">
        <v>353</v>
      </c>
      <c r="B258" s="79">
        <v>509199</v>
      </c>
    </row>
    <row r="259" spans="1:2" x14ac:dyDescent="0.2">
      <c r="A259" s="79" t="s">
        <v>355</v>
      </c>
      <c r="B259" s="79">
        <v>509197</v>
      </c>
    </row>
    <row r="260" spans="1:2" x14ac:dyDescent="0.2">
      <c r="A260" s="1151" t="s">
        <v>870</v>
      </c>
      <c r="B260" s="1211">
        <v>479383</v>
      </c>
    </row>
    <row r="261" spans="1:2" x14ac:dyDescent="0.2">
      <c r="A261" s="1170" t="s">
        <v>360</v>
      </c>
      <c r="B261" s="1168" t="s">
        <v>361</v>
      </c>
    </row>
    <row r="262" spans="1:2" x14ac:dyDescent="0.2">
      <c r="A262" s="1158" t="s">
        <v>70</v>
      </c>
      <c r="B262" s="94">
        <v>4182</v>
      </c>
    </row>
    <row r="263" spans="1:2" x14ac:dyDescent="0.2">
      <c r="A263" s="79" t="s">
        <v>357</v>
      </c>
      <c r="B263" s="79" t="s">
        <v>359</v>
      </c>
    </row>
    <row r="264" spans="1:2" x14ac:dyDescent="0.2">
      <c r="A264" s="79" t="s">
        <v>6</v>
      </c>
      <c r="B264" s="79">
        <v>1005</v>
      </c>
    </row>
    <row r="265" spans="1:2" x14ac:dyDescent="0.2">
      <c r="A265" s="489" t="s">
        <v>871</v>
      </c>
      <c r="B265" s="1179" t="s">
        <v>872</v>
      </c>
    </row>
    <row r="266" spans="1:2" x14ac:dyDescent="0.2">
      <c r="A266" s="1158" t="s">
        <v>39</v>
      </c>
      <c r="B266" s="94">
        <v>2436</v>
      </c>
    </row>
    <row r="267" spans="1:2" x14ac:dyDescent="0.2">
      <c r="A267" s="79" t="s">
        <v>362</v>
      </c>
      <c r="B267" s="79">
        <v>206117</v>
      </c>
    </row>
    <row r="268" spans="1:2" x14ac:dyDescent="0.2">
      <c r="A268" s="79" t="s">
        <v>40</v>
      </c>
      <c r="B268" s="79">
        <v>2452</v>
      </c>
    </row>
    <row r="269" spans="1:2" x14ac:dyDescent="0.2">
      <c r="A269" s="1158" t="s">
        <v>71</v>
      </c>
      <c r="B269" s="94">
        <v>4001</v>
      </c>
    </row>
    <row r="270" spans="1:2" x14ac:dyDescent="0.2">
      <c r="A270" s="79" t="s">
        <v>364</v>
      </c>
      <c r="B270" s="79">
        <v>206141</v>
      </c>
    </row>
    <row r="271" spans="1:2" x14ac:dyDescent="0.2">
      <c r="A271" s="1158" t="s">
        <v>41</v>
      </c>
      <c r="B271" s="94">
        <v>2627</v>
      </c>
    </row>
    <row r="272" spans="1:2" x14ac:dyDescent="0.2">
      <c r="A272" s="1158" t="s">
        <v>112</v>
      </c>
      <c r="B272" s="94">
        <v>5406</v>
      </c>
    </row>
    <row r="273" spans="1:2" x14ac:dyDescent="0.2">
      <c r="A273" s="1158" t="s">
        <v>113</v>
      </c>
      <c r="B273" s="94">
        <v>5407</v>
      </c>
    </row>
    <row r="274" spans="1:2" x14ac:dyDescent="0.2">
      <c r="A274" s="79" t="s">
        <v>366</v>
      </c>
      <c r="B274" s="79" t="s">
        <v>368</v>
      </c>
    </row>
    <row r="275" spans="1:2" x14ac:dyDescent="0.2">
      <c r="A275" s="79" t="s">
        <v>369</v>
      </c>
      <c r="B275" s="79">
        <v>258404</v>
      </c>
    </row>
    <row r="276" spans="1:2" x14ac:dyDescent="0.2">
      <c r="A276" s="1158" t="s">
        <v>101</v>
      </c>
      <c r="B276" s="79">
        <v>2473</v>
      </c>
    </row>
    <row r="277" spans="1:2" x14ac:dyDescent="0.2">
      <c r="A277" s="1158" t="s">
        <v>44</v>
      </c>
      <c r="B277" s="94">
        <v>2471</v>
      </c>
    </row>
    <row r="278" spans="1:2" x14ac:dyDescent="0.2">
      <c r="A278" s="79" t="s">
        <v>371</v>
      </c>
      <c r="B278" s="79">
        <v>258405</v>
      </c>
    </row>
    <row r="279" spans="1:2" x14ac:dyDescent="0.2">
      <c r="A279" s="79" t="s">
        <v>373</v>
      </c>
      <c r="B279" s="79">
        <v>258406</v>
      </c>
    </row>
    <row r="280" spans="1:2" x14ac:dyDescent="0.2">
      <c r="A280" s="79" t="s">
        <v>43</v>
      </c>
      <c r="B280" s="79">
        <v>2420</v>
      </c>
    </row>
    <row r="281" spans="1:2" x14ac:dyDescent="0.2">
      <c r="A281" s="79" t="s">
        <v>375</v>
      </c>
      <c r="B281" s="79">
        <v>206160</v>
      </c>
    </row>
    <row r="282" spans="1:2" x14ac:dyDescent="0.2">
      <c r="A282" s="79" t="s">
        <v>45</v>
      </c>
      <c r="B282" s="79">
        <v>2003</v>
      </c>
    </row>
    <row r="283" spans="1:2" x14ac:dyDescent="0.2">
      <c r="A283" s="1158" t="s">
        <v>46</v>
      </c>
      <c r="B283" s="94">
        <v>2423</v>
      </c>
    </row>
    <row r="284" spans="1:2" x14ac:dyDescent="0.2">
      <c r="A284" s="1158" t="s">
        <v>47</v>
      </c>
      <c r="B284" s="94">
        <v>2424</v>
      </c>
    </row>
    <row r="285" spans="1:2" x14ac:dyDescent="0.2">
      <c r="A285" s="79" t="s">
        <v>377</v>
      </c>
      <c r="B285" s="79" t="s">
        <v>379</v>
      </c>
    </row>
    <row r="286" spans="1:2" x14ac:dyDescent="0.2">
      <c r="A286" s="726" t="s">
        <v>873</v>
      </c>
      <c r="B286" s="1179" t="s">
        <v>874</v>
      </c>
    </row>
    <row r="287" spans="1:2" x14ac:dyDescent="0.2">
      <c r="A287" s="79" t="s">
        <v>382</v>
      </c>
      <c r="B287" s="79" t="s">
        <v>384</v>
      </c>
    </row>
    <row r="288" spans="1:2" x14ac:dyDescent="0.2">
      <c r="A288" s="79" t="s">
        <v>385</v>
      </c>
      <c r="B288" s="79">
        <v>206146</v>
      </c>
    </row>
    <row r="289" spans="1:2" x14ac:dyDescent="0.2">
      <c r="A289" s="1158" t="s">
        <v>48</v>
      </c>
      <c r="B289" s="94">
        <v>2439</v>
      </c>
    </row>
    <row r="290" spans="1:2" x14ac:dyDescent="0.2">
      <c r="A290" s="1158" t="s">
        <v>49</v>
      </c>
      <c r="B290" s="94">
        <v>2440</v>
      </c>
    </row>
    <row r="291" spans="1:2" x14ac:dyDescent="0.2">
      <c r="A291" s="80" t="s">
        <v>387</v>
      </c>
      <c r="B291" s="80" t="s">
        <v>388</v>
      </c>
    </row>
    <row r="292" spans="1:2" x14ac:dyDescent="0.2">
      <c r="A292" s="1158" t="s">
        <v>102</v>
      </c>
      <c r="B292" s="79">
        <v>2462</v>
      </c>
    </row>
    <row r="293" spans="1:2" x14ac:dyDescent="0.2">
      <c r="A293" s="1158" t="s">
        <v>50</v>
      </c>
      <c r="B293" s="94">
        <v>2463</v>
      </c>
    </row>
    <row r="294" spans="1:2" x14ac:dyDescent="0.2">
      <c r="A294" s="79" t="s">
        <v>51</v>
      </c>
      <c r="B294" s="79">
        <v>2505</v>
      </c>
    </row>
    <row r="295" spans="1:2" x14ac:dyDescent="0.2">
      <c r="A295" s="79" t="s">
        <v>52</v>
      </c>
      <c r="B295" s="79">
        <v>2000</v>
      </c>
    </row>
    <row r="296" spans="1:2" x14ac:dyDescent="0.2">
      <c r="A296" s="1158" t="s">
        <v>53</v>
      </c>
      <c r="B296" s="94">
        <v>2458</v>
      </c>
    </row>
    <row r="297" spans="1:2" x14ac:dyDescent="0.2">
      <c r="A297" s="79" t="s">
        <v>392</v>
      </c>
      <c r="B297" s="79" t="s">
        <v>394</v>
      </c>
    </row>
    <row r="298" spans="1:2" x14ac:dyDescent="0.2">
      <c r="A298" s="79" t="s">
        <v>54</v>
      </c>
      <c r="B298" s="79">
        <v>2001</v>
      </c>
    </row>
    <row r="299" spans="1:2" x14ac:dyDescent="0.2">
      <c r="A299" s="80" t="s">
        <v>395</v>
      </c>
      <c r="B299" s="80" t="s">
        <v>396</v>
      </c>
    </row>
    <row r="300" spans="1:2" x14ac:dyDescent="0.2">
      <c r="A300" s="79" t="s">
        <v>55</v>
      </c>
      <c r="B300" s="79">
        <v>2429</v>
      </c>
    </row>
    <row r="301" spans="1:2" x14ac:dyDescent="0.2">
      <c r="A301" s="79" t="s">
        <v>397</v>
      </c>
      <c r="B301" s="79">
        <v>113044</v>
      </c>
    </row>
    <row r="302" spans="1:2" x14ac:dyDescent="0.2">
      <c r="A302" s="79" t="s">
        <v>399</v>
      </c>
      <c r="B302" s="79" t="s">
        <v>401</v>
      </c>
    </row>
    <row r="303" spans="1:2" x14ac:dyDescent="0.2">
      <c r="A303" s="1158" t="s">
        <v>72</v>
      </c>
      <c r="B303" s="94">
        <v>4607</v>
      </c>
    </row>
    <row r="304" spans="1:2" x14ac:dyDescent="0.2">
      <c r="A304" s="665" t="s">
        <v>881</v>
      </c>
      <c r="B304" s="1169" t="s">
        <v>882</v>
      </c>
    </row>
    <row r="305" spans="1:2" x14ac:dyDescent="0.2">
      <c r="A305" s="726" t="s">
        <v>883</v>
      </c>
      <c r="B305" s="1154" t="s">
        <v>884</v>
      </c>
    </row>
    <row r="306" spans="1:2" x14ac:dyDescent="0.2">
      <c r="A306" s="79" t="s">
        <v>56</v>
      </c>
      <c r="B306" s="79">
        <v>2444</v>
      </c>
    </row>
    <row r="307" spans="1:2" x14ac:dyDescent="0.2">
      <c r="A307" s="1158" t="s">
        <v>57</v>
      </c>
      <c r="B307" s="94">
        <v>5209</v>
      </c>
    </row>
    <row r="308" spans="1:2" x14ac:dyDescent="0.2">
      <c r="A308" s="79" t="s">
        <v>402</v>
      </c>
      <c r="B308" s="79" t="s">
        <v>404</v>
      </c>
    </row>
    <row r="309" spans="1:2" x14ac:dyDescent="0.2">
      <c r="A309" s="79" t="s">
        <v>405</v>
      </c>
      <c r="B309" s="79" t="s">
        <v>407</v>
      </c>
    </row>
    <row r="310" spans="1:2" x14ac:dyDescent="0.2">
      <c r="A310" s="1158" t="s">
        <v>58</v>
      </c>
      <c r="B310" s="94">
        <v>2469</v>
      </c>
    </row>
    <row r="311" spans="1:2" x14ac:dyDescent="0.2">
      <c r="A311" s="79" t="s">
        <v>408</v>
      </c>
      <c r="B311" s="79" t="s">
        <v>410</v>
      </c>
    </row>
    <row r="312" spans="1:2" x14ac:dyDescent="0.2">
      <c r="A312" s="99" t="s">
        <v>411</v>
      </c>
      <c r="B312" s="99" t="s">
        <v>412</v>
      </c>
    </row>
    <row r="313" spans="1:2" x14ac:dyDescent="0.2">
      <c r="A313" s="1158" t="s">
        <v>59</v>
      </c>
      <c r="B313" s="94">
        <v>2466</v>
      </c>
    </row>
    <row r="314" spans="1:2" x14ac:dyDescent="0.2">
      <c r="A314" s="79" t="s">
        <v>60</v>
      </c>
      <c r="B314" s="79">
        <v>3543</v>
      </c>
    </row>
    <row r="315" spans="1:2" x14ac:dyDescent="0.2">
      <c r="A315" s="79" t="s">
        <v>413</v>
      </c>
      <c r="B315" s="79">
        <v>206152</v>
      </c>
    </row>
    <row r="316" spans="1:2" x14ac:dyDescent="0.2">
      <c r="A316" s="79" t="s">
        <v>415</v>
      </c>
      <c r="B316" s="79">
        <v>206153</v>
      </c>
    </row>
    <row r="317" spans="1:2" x14ac:dyDescent="0.2">
      <c r="A317" s="1158" t="s">
        <v>62</v>
      </c>
      <c r="B317" s="94">
        <v>3531</v>
      </c>
    </row>
    <row r="318" spans="1:2" x14ac:dyDescent="0.2">
      <c r="A318" s="79" t="s">
        <v>63</v>
      </c>
      <c r="B318" s="79">
        <v>3526</v>
      </c>
    </row>
    <row r="319" spans="1:2" x14ac:dyDescent="0.2">
      <c r="A319" s="1158" t="s">
        <v>104</v>
      </c>
      <c r="B319" s="94">
        <v>3535</v>
      </c>
    </row>
    <row r="320" spans="1:2" x14ac:dyDescent="0.2">
      <c r="A320" s="1203" t="s">
        <v>64</v>
      </c>
      <c r="B320" s="94">
        <v>2008</v>
      </c>
    </row>
    <row r="321" spans="1:2" x14ac:dyDescent="0.2">
      <c r="A321" s="1158" t="s">
        <v>105</v>
      </c>
      <c r="B321" s="94">
        <v>3542</v>
      </c>
    </row>
    <row r="322" spans="1:2" x14ac:dyDescent="0.2">
      <c r="A322" s="90" t="s">
        <v>417</v>
      </c>
      <c r="B322" s="79">
        <v>206154</v>
      </c>
    </row>
    <row r="323" spans="1:2" x14ac:dyDescent="0.2">
      <c r="A323" s="1158" t="s">
        <v>106</v>
      </c>
      <c r="B323" s="79">
        <v>3528</v>
      </c>
    </row>
    <row r="324" spans="1:2" x14ac:dyDescent="0.2">
      <c r="A324" s="80" t="s">
        <v>419</v>
      </c>
      <c r="B324" s="80" t="s">
        <v>420</v>
      </c>
    </row>
    <row r="325" spans="1:2" x14ac:dyDescent="0.2">
      <c r="A325" s="1158" t="s">
        <v>107</v>
      </c>
      <c r="B325" s="94">
        <v>3534</v>
      </c>
    </row>
    <row r="326" spans="1:2" x14ac:dyDescent="0.2">
      <c r="A326" s="1158" t="s">
        <v>108</v>
      </c>
      <c r="B326" s="143">
        <v>3532</v>
      </c>
    </row>
    <row r="327" spans="1:2" x14ac:dyDescent="0.2">
      <c r="A327" s="107" t="s">
        <v>7</v>
      </c>
      <c r="B327" s="79">
        <v>1010</v>
      </c>
    </row>
    <row r="328" spans="1:2" x14ac:dyDescent="0.2">
      <c r="A328" s="107" t="s">
        <v>421</v>
      </c>
      <c r="B328" s="79" t="s">
        <v>423</v>
      </c>
    </row>
    <row r="329" spans="1:2" x14ac:dyDescent="0.2">
      <c r="A329" s="1158" t="s">
        <v>114</v>
      </c>
      <c r="B329" s="94">
        <v>4177</v>
      </c>
    </row>
    <row r="330" spans="1:2" x14ac:dyDescent="0.2">
      <c r="A330" s="79" t="s">
        <v>424</v>
      </c>
      <c r="B330" s="79" t="s">
        <v>426</v>
      </c>
    </row>
    <row r="331" spans="1:2" x14ac:dyDescent="0.2">
      <c r="A331" s="79" t="s">
        <v>427</v>
      </c>
      <c r="B331" s="79">
        <v>206103</v>
      </c>
    </row>
    <row r="332" spans="1:2" x14ac:dyDescent="0.2">
      <c r="A332" s="79" t="s">
        <v>428</v>
      </c>
      <c r="B332" s="79" t="s">
        <v>430</v>
      </c>
    </row>
    <row r="333" spans="1:2" x14ac:dyDescent="0.2">
      <c r="A333" s="79" t="s">
        <v>431</v>
      </c>
      <c r="B333" s="79" t="s">
        <v>433</v>
      </c>
    </row>
    <row r="334" spans="1:2" x14ac:dyDescent="0.2">
      <c r="A334" s="79" t="s">
        <v>434</v>
      </c>
      <c r="B334" s="79">
        <v>258420</v>
      </c>
    </row>
    <row r="335" spans="1:2" x14ac:dyDescent="0.2">
      <c r="A335" s="79" t="s">
        <v>436</v>
      </c>
      <c r="B335" s="79">
        <v>258424</v>
      </c>
    </row>
    <row r="336" spans="1:2" x14ac:dyDescent="0.2">
      <c r="A336" s="79" t="s">
        <v>438</v>
      </c>
      <c r="B336" s="79" t="s">
        <v>439</v>
      </c>
    </row>
    <row r="337" spans="1:2" x14ac:dyDescent="0.2">
      <c r="A337" s="142" t="s">
        <v>65</v>
      </c>
      <c r="B337" s="79">
        <v>3546</v>
      </c>
    </row>
    <row r="338" spans="1:2" x14ac:dyDescent="0.2">
      <c r="A338" s="140" t="s">
        <v>8</v>
      </c>
      <c r="B338" s="79">
        <v>1009</v>
      </c>
    </row>
    <row r="339" spans="1:2" x14ac:dyDescent="0.2">
      <c r="A339" s="142" t="s">
        <v>66</v>
      </c>
      <c r="B339" s="79">
        <v>3530</v>
      </c>
    </row>
    <row r="340" spans="1:2" x14ac:dyDescent="0.2">
      <c r="A340" s="1158" t="s">
        <v>74</v>
      </c>
      <c r="B340" s="94">
        <v>5412</v>
      </c>
    </row>
    <row r="341" spans="1:2" ht="15" x14ac:dyDescent="0.2">
      <c r="A341" s="146" t="s">
        <v>445</v>
      </c>
      <c r="B341" s="146" t="s">
        <v>446</v>
      </c>
    </row>
    <row r="342" spans="1:2" x14ac:dyDescent="0.2">
      <c r="A342" s="140" t="s">
        <v>440</v>
      </c>
      <c r="B342" s="144" t="s">
        <v>442</v>
      </c>
    </row>
    <row r="343" spans="1:2" x14ac:dyDescent="0.2">
      <c r="A343" s="79" t="s">
        <v>9</v>
      </c>
      <c r="B343" s="140">
        <v>1015</v>
      </c>
    </row>
    <row r="344" spans="1:2" x14ac:dyDescent="0.2">
      <c r="A344" s="141" t="s">
        <v>443</v>
      </c>
      <c r="B344" s="145" t="s">
        <v>444</v>
      </c>
    </row>
    <row r="345" spans="1:2" x14ac:dyDescent="0.2">
      <c r="A345" s="142" t="s">
        <v>447</v>
      </c>
      <c r="B345" s="79">
        <v>509204</v>
      </c>
    </row>
    <row r="346" spans="1:2" x14ac:dyDescent="0.2">
      <c r="A346" s="1206" t="s">
        <v>67</v>
      </c>
      <c r="B346" s="143">
        <v>2459</v>
      </c>
    </row>
    <row r="347" spans="1:2" x14ac:dyDescent="0.2">
      <c r="A347" s="79" t="s">
        <v>96</v>
      </c>
      <c r="B347" s="79">
        <v>2007</v>
      </c>
    </row>
  </sheetData>
  <sheetProtection password="EF5C" sheet="1" objects="1" scenarios="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N355"/>
  <sheetViews>
    <sheetView workbookViewId="0">
      <pane xSplit="2" ySplit="6" topLeftCell="AM88" activePane="bottomRight" state="frozen"/>
      <selection activeCell="C118" sqref="C118"/>
      <selection pane="topRight" activeCell="C118" sqref="C118"/>
      <selection pane="bottomLeft" activeCell="C118" sqref="C118"/>
      <selection pane="bottomRight" sqref="A1:AY1048576"/>
    </sheetView>
  </sheetViews>
  <sheetFormatPr defaultRowHeight="12.75" x14ac:dyDescent="0.2"/>
  <cols>
    <col min="1" max="1" width="52.42578125" style="11" hidden="1" customWidth="1"/>
    <col min="2" max="2" width="17.140625" style="2" hidden="1" customWidth="1"/>
    <col min="3" max="5" width="0" style="30" hidden="1" customWidth="1"/>
    <col min="6" max="7" width="11" style="30" hidden="1" customWidth="1"/>
    <col min="8" max="16" width="0" style="30" hidden="1" customWidth="1"/>
    <col min="17" max="17" width="10.5703125" style="30" hidden="1" customWidth="1"/>
    <col min="18" max="18" width="11.42578125" style="30" hidden="1" customWidth="1"/>
    <col min="19" max="22" width="0" style="30" hidden="1" customWidth="1"/>
    <col min="23" max="24" width="11" style="30" hidden="1" customWidth="1"/>
    <col min="25" max="33" width="0" style="30" hidden="1" customWidth="1"/>
    <col min="34" max="34" width="10.5703125" style="30" hidden="1" customWidth="1"/>
    <col min="35" max="51" width="0" style="30" hidden="1" customWidth="1"/>
    <col min="52" max="16384" width="9.140625" style="30"/>
  </cols>
  <sheetData>
    <row r="1" spans="1:92" x14ac:dyDescent="0.2">
      <c r="A1" s="1"/>
      <c r="B1" s="817"/>
    </row>
    <row r="2" spans="1:92" x14ac:dyDescent="0.2">
      <c r="A2" s="1"/>
      <c r="B2" s="817"/>
    </row>
    <row r="3" spans="1:92" x14ac:dyDescent="0.2">
      <c r="A3" s="1"/>
      <c r="B3" s="817"/>
      <c r="C3" s="58"/>
      <c r="T3" s="30" t="s">
        <v>1291</v>
      </c>
    </row>
    <row r="4" spans="1:92" x14ac:dyDescent="0.2">
      <c r="A4" s="58" t="s">
        <v>1292</v>
      </c>
      <c r="B4" s="2" t="s">
        <v>924</v>
      </c>
      <c r="C4" s="817">
        <v>0.11996825711963002</v>
      </c>
      <c r="D4" s="817">
        <v>9.6990121973435081E-2</v>
      </c>
      <c r="E4" s="817">
        <v>8.6334900283922683E-2</v>
      </c>
      <c r="H4" s="1111">
        <v>0.35251785880652542</v>
      </c>
      <c r="I4" s="1111"/>
      <c r="J4" s="1111">
        <v>1</v>
      </c>
      <c r="K4" s="1111"/>
      <c r="L4" s="1111">
        <v>0.352517575306113</v>
      </c>
      <c r="M4" s="1111"/>
      <c r="N4" s="1111">
        <v>0.40054506899453624</v>
      </c>
      <c r="O4" s="1111"/>
      <c r="P4" s="1111">
        <v>1</v>
      </c>
      <c r="T4" s="817">
        <v>0.11996825711963002</v>
      </c>
      <c r="U4" s="817">
        <v>9.6990121973435081E-2</v>
      </c>
      <c r="V4" s="817">
        <v>8.6334900283922683E-2</v>
      </c>
      <c r="Y4" s="1111">
        <v>0.35251785880652542</v>
      </c>
      <c r="Z4" s="1111"/>
      <c r="AA4" s="1111">
        <v>1</v>
      </c>
      <c r="AB4" s="1111"/>
      <c r="AC4" s="1111">
        <v>0.352517575306113</v>
      </c>
      <c r="AD4" s="1111"/>
      <c r="AE4" s="1111">
        <v>0.40054506899453624</v>
      </c>
      <c r="AF4" s="1111"/>
      <c r="AG4" s="1111">
        <v>1</v>
      </c>
    </row>
    <row r="5" spans="1:92" x14ac:dyDescent="0.2">
      <c r="A5" s="1"/>
      <c r="B5" s="2" t="s">
        <v>514</v>
      </c>
      <c r="C5" s="11">
        <v>2553.0217000000002</v>
      </c>
      <c r="D5" s="11">
        <v>3576.1624000000002</v>
      </c>
      <c r="E5" s="11">
        <v>4003.8288000000002</v>
      </c>
      <c r="T5" s="11">
        <v>2442.0651000000003</v>
      </c>
      <c r="U5" s="11">
        <v>3465.2058000000002</v>
      </c>
      <c r="V5" s="11">
        <v>3892.8722000000002</v>
      </c>
    </row>
    <row r="6" spans="1:92" ht="38.25" x14ac:dyDescent="0.2">
      <c r="A6" s="13" t="s">
        <v>118</v>
      </c>
      <c r="B6" s="6" t="s">
        <v>119</v>
      </c>
      <c r="C6" s="5" t="s">
        <v>1293</v>
      </c>
      <c r="D6" s="5" t="s">
        <v>1294</v>
      </c>
      <c r="E6" s="5" t="s">
        <v>1295</v>
      </c>
      <c r="F6" s="1112" t="s">
        <v>1296</v>
      </c>
      <c r="G6" s="803" t="s">
        <v>893</v>
      </c>
      <c r="H6" s="1112" t="s">
        <v>1297</v>
      </c>
      <c r="I6" s="803" t="s">
        <v>1298</v>
      </c>
      <c r="J6" s="1112" t="s">
        <v>1299</v>
      </c>
      <c r="K6" s="803" t="s">
        <v>1300</v>
      </c>
      <c r="L6" s="1112" t="s">
        <v>1301</v>
      </c>
      <c r="M6" s="803" t="s">
        <v>198</v>
      </c>
      <c r="N6" s="1112" t="s">
        <v>1302</v>
      </c>
      <c r="O6" s="803" t="s">
        <v>1303</v>
      </c>
      <c r="P6" s="1112" t="s">
        <v>1304</v>
      </c>
      <c r="Q6" s="1113" t="s">
        <v>1305</v>
      </c>
      <c r="R6" s="30" t="s">
        <v>1306</v>
      </c>
      <c r="T6" s="5" t="s">
        <v>1293</v>
      </c>
      <c r="U6" s="5" t="s">
        <v>1294</v>
      </c>
      <c r="V6" s="5" t="s">
        <v>1295</v>
      </c>
      <c r="W6" s="1112" t="s">
        <v>1296</v>
      </c>
      <c r="X6" s="803" t="s">
        <v>893</v>
      </c>
      <c r="Y6" s="1112" t="s">
        <v>1297</v>
      </c>
      <c r="Z6" s="803" t="s">
        <v>1298</v>
      </c>
      <c r="AA6" s="1112" t="s">
        <v>1299</v>
      </c>
      <c r="AB6" s="803" t="s">
        <v>1300</v>
      </c>
      <c r="AC6" s="1112" t="s">
        <v>1301</v>
      </c>
      <c r="AD6" s="803" t="s">
        <v>198</v>
      </c>
      <c r="AE6" s="1112" t="s">
        <v>1302</v>
      </c>
      <c r="AF6" s="803" t="s">
        <v>1303</v>
      </c>
      <c r="AG6" s="1112" t="s">
        <v>1304</v>
      </c>
      <c r="AH6" s="1113" t="s">
        <v>1305</v>
      </c>
    </row>
    <row r="7" spans="1:92" x14ac:dyDescent="0.2">
      <c r="A7" s="9" t="s">
        <v>10</v>
      </c>
      <c r="B7" s="10">
        <v>2012</v>
      </c>
      <c r="C7" s="11">
        <f>SUMIF(AWPU!B:B,B7,AWPU!J:J)</f>
        <v>358</v>
      </c>
      <c r="D7" s="11">
        <f>SUMIF(AWPU!B:B,B7,AWPU!K:K)</f>
        <v>0</v>
      </c>
      <c r="E7" s="11">
        <f>SUMIF(AWPU!B:B,B7,AWPU!L:L)</f>
        <v>0</v>
      </c>
      <c r="F7" s="1114">
        <f>$C$4*$C$5*$C7+$D$4*$D$5*$D7+$E$4*$E$5*$E7</f>
        <v>109648.79981805901</v>
      </c>
      <c r="G7" s="11">
        <f>SUMIF(DEP!B:B,B7,DEP!O:O)</f>
        <v>474052.41696087242</v>
      </c>
      <c r="H7" s="1114">
        <f>H$4*G7</f>
        <v>167111.94298910495</v>
      </c>
      <c r="I7" s="11">
        <f>SUMIF(LAC!B:B,B7,LAC!D:D)</f>
        <v>1481.503298470948</v>
      </c>
      <c r="J7" s="1114">
        <f>J$4*I7</f>
        <v>1481.503298470948</v>
      </c>
      <c r="K7" s="11">
        <f>SUMIF(LCHI!B:B,B7,LCHI!D:D)</f>
        <v>0</v>
      </c>
      <c r="L7" s="1114">
        <f>L$4*K7</f>
        <v>0</v>
      </c>
      <c r="M7" s="11">
        <f>SUMIF(EAL!B:B,B7,EAL!G:G)</f>
        <v>58641.77103366323</v>
      </c>
      <c r="N7" s="1114">
        <f>N$4*M7</f>
        <v>23488.672224640435</v>
      </c>
      <c r="O7" s="11">
        <f>SUMIF(MOB!B:B,B7,MOB!G:G)</f>
        <v>32631.296000000038</v>
      </c>
      <c r="P7" s="1114">
        <f>P$4*O7</f>
        <v>32631.296000000038</v>
      </c>
      <c r="Q7" s="1114">
        <f>P7+N7+L7+J7+H7+F7</f>
        <v>334362.21433027537</v>
      </c>
      <c r="R7" s="11">
        <v>334362.21433027537</v>
      </c>
      <c r="S7" s="11">
        <v>8312012</v>
      </c>
      <c r="T7" s="11">
        <v>323</v>
      </c>
      <c r="U7" s="11">
        <v>0</v>
      </c>
      <c r="V7" s="11">
        <v>0</v>
      </c>
      <c r="W7" s="1114">
        <f>T$4*T$5*T7+U$4*U$5*U7+V$4*V$5*V7</f>
        <v>94629.404903755028</v>
      </c>
      <c r="X7" s="11">
        <v>441770.90251336654</v>
      </c>
      <c r="Y7" s="1114">
        <f>Y$4*X7</f>
        <v>155732.13263703824</v>
      </c>
      <c r="Z7" s="11">
        <v>2847.485303583062</v>
      </c>
      <c r="AA7" s="1114">
        <f>AA$4*Z7</f>
        <v>2847.485303583062</v>
      </c>
      <c r="AB7" s="11">
        <v>0</v>
      </c>
      <c r="AC7" s="1114">
        <f>AC$4*AB7</f>
        <v>0</v>
      </c>
      <c r="AD7" s="11">
        <v>40525.107814285591</v>
      </c>
      <c r="AE7" s="1114">
        <f>AE$4*AD7</f>
        <v>16232.132105484041</v>
      </c>
      <c r="AF7" s="11">
        <v>18834.976000000061</v>
      </c>
      <c r="AG7" s="1114">
        <f>AG$4*AF7</f>
        <v>18834.976000000061</v>
      </c>
      <c r="AH7" s="1114">
        <f>AG7+AE7+AC7+AA7+Y7+W7</f>
        <v>288276.13094986044</v>
      </c>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x14ac:dyDescent="0.2">
      <c r="A8" s="9" t="s">
        <v>11</v>
      </c>
      <c r="B8" s="10">
        <v>2443</v>
      </c>
      <c r="C8" s="11">
        <f>SUMIF(AWPU!B:B,B8,AWPU!J:J)</f>
        <v>255</v>
      </c>
      <c r="D8" s="11">
        <f>SUMIF(AWPU!B:B,B8,AWPU!K:K)</f>
        <v>0</v>
      </c>
      <c r="E8" s="11">
        <f>SUMIF(AWPU!B:B,B8,AWPU!L:L)</f>
        <v>0</v>
      </c>
      <c r="F8" s="1114">
        <f t="shared" ref="F8:F71" si="0">C$4*C$5*C8+D$4*D$5*D8+E$4*E$5*E8</f>
        <v>78101.798753086725</v>
      </c>
      <c r="G8" s="11">
        <f>SUMIF(DEP!B:B,B8,DEP!O:O)</f>
        <v>129803.82830160568</v>
      </c>
      <c r="H8" s="1114">
        <f t="shared" ref="H8:H71" si="1">H$4*G8</f>
        <v>45758.167617771898</v>
      </c>
      <c r="I8" s="11">
        <f>SUMIF(LAC!B:B,B8,LAC!D:D)</f>
        <v>1332.3176003861004</v>
      </c>
      <c r="J8" s="1114">
        <f t="shared" ref="J8:J71" si="2">J$4*I8</f>
        <v>1332.3176003861004</v>
      </c>
      <c r="K8" s="11">
        <f>SUMIF(LCHI!B:B,B8,LCHI!D:D)</f>
        <v>0</v>
      </c>
      <c r="L8" s="1114">
        <f t="shared" ref="L8:L71" si="3">L$4*K8</f>
        <v>0</v>
      </c>
      <c r="M8" s="11">
        <f>SUMIF(EAL!B:B,B8,EAL!G:G)</f>
        <v>13224.976909090907</v>
      </c>
      <c r="N8" s="1114">
        <f t="shared" ref="N8:N71" si="4">N$4*M8</f>
        <v>5297.1992885029658</v>
      </c>
      <c r="O8" s="11">
        <f>SUMIF(MOB!B:B,B8,MOB!G:G)</f>
        <v>0</v>
      </c>
      <c r="P8" s="1114">
        <f t="shared" ref="P8:P71" si="5">P$4*O8</f>
        <v>0</v>
      </c>
      <c r="Q8" s="1114">
        <f t="shared" ref="Q8:Q71" si="6">P8+N8+L8+J8+H8+F8</f>
        <v>130489.48325974769</v>
      </c>
      <c r="R8" s="11">
        <v>130489.48325974768</v>
      </c>
      <c r="S8" s="11" t="s">
        <v>1116</v>
      </c>
      <c r="T8" s="11">
        <v>259</v>
      </c>
      <c r="U8" s="11">
        <v>0</v>
      </c>
      <c r="V8" s="11">
        <v>0</v>
      </c>
      <c r="W8" s="1114">
        <f t="shared" ref="W8:W71" si="7">T$4*T$5*T8+U$4*U$5*U8+V$4*V$5*V8</f>
        <v>75879.306099295834</v>
      </c>
      <c r="X8" s="11">
        <v>121315.97960236929</v>
      </c>
      <c r="Y8" s="1114">
        <f t="shared" ref="Y8:Y71" si="8">Y$4*X8</f>
        <v>42766.049368443339</v>
      </c>
      <c r="Z8" s="11">
        <v>1298.0856492592593</v>
      </c>
      <c r="AA8" s="1114">
        <f t="shared" ref="AA8:AA71" si="9">AA$4*Z8</f>
        <v>1298.0856492592593</v>
      </c>
      <c r="AB8" s="11">
        <v>0</v>
      </c>
      <c r="AC8" s="1114">
        <f t="shared" ref="AC8:AC71" si="10">AC$4*AB8</f>
        <v>0</v>
      </c>
      <c r="AD8" s="11">
        <v>7470.8445235954987</v>
      </c>
      <c r="AE8" s="1114">
        <f t="shared" ref="AE8:AE71" si="11">AE$4*AD8</f>
        <v>2992.4099351510122</v>
      </c>
      <c r="AF8" s="11">
        <v>0</v>
      </c>
      <c r="AG8" s="1114">
        <f t="shared" ref="AG8:AG71" si="12">AG$4*AF8</f>
        <v>0</v>
      </c>
      <c r="AH8" s="1114">
        <f t="shared" ref="AH8:AH71" si="13">AG8+AE8+AC8+AA8+Y8+W8</f>
        <v>122935.85105214945</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row>
    <row r="9" spans="1:92" x14ac:dyDescent="0.2">
      <c r="A9" s="9" t="s">
        <v>94</v>
      </c>
      <c r="B9" s="10">
        <v>2442</v>
      </c>
      <c r="C9" s="11">
        <f>SUMIF(AWPU!B:B,B9,AWPU!J:J)</f>
        <v>309</v>
      </c>
      <c r="D9" s="11">
        <f>SUMIF(AWPU!B:B,B9,AWPU!K:K)</f>
        <v>0</v>
      </c>
      <c r="E9" s="11">
        <f>SUMIF(AWPU!B:B,B9,AWPU!L:L)</f>
        <v>0</v>
      </c>
      <c r="F9" s="1114">
        <f t="shared" si="0"/>
        <v>94641.003194916848</v>
      </c>
      <c r="G9" s="11">
        <f>SUMIF(DEP!B:B,B9,DEP!O:O)</f>
        <v>198388.25276731647</v>
      </c>
      <c r="H9" s="1114">
        <f t="shared" si="1"/>
        <v>69935.402077902138</v>
      </c>
      <c r="I9" s="11">
        <f>SUMIF(LAC!B:B,B9,LAC!D:D)</f>
        <v>0</v>
      </c>
      <c r="J9" s="1114">
        <f t="shared" si="2"/>
        <v>0</v>
      </c>
      <c r="K9" s="11">
        <f>SUMIF(LCHI!B:B,B9,LCHI!D:D)</f>
        <v>0</v>
      </c>
      <c r="L9" s="1114">
        <f t="shared" si="3"/>
        <v>0</v>
      </c>
      <c r="M9" s="11">
        <f>SUMIF(EAL!B:B,B9,EAL!G:G)</f>
        <v>2609.4251072368425</v>
      </c>
      <c r="N9" s="1114">
        <f t="shared" si="4"/>
        <v>1045.1923596142562</v>
      </c>
      <c r="O9" s="11">
        <f>SUMIF(MOB!B:B,B9,MOB!G:G)</f>
        <v>0</v>
      </c>
      <c r="P9" s="1114">
        <f t="shared" si="5"/>
        <v>0</v>
      </c>
      <c r="Q9" s="1114">
        <f t="shared" si="6"/>
        <v>165621.59763243323</v>
      </c>
      <c r="R9" s="11">
        <v>165621.59763243323</v>
      </c>
      <c r="S9" s="11" t="s">
        <v>1117</v>
      </c>
      <c r="T9" s="11">
        <v>294</v>
      </c>
      <c r="U9" s="11">
        <v>0</v>
      </c>
      <c r="V9" s="11">
        <v>0</v>
      </c>
      <c r="W9" s="1114">
        <f t="shared" si="7"/>
        <v>86133.266382984453</v>
      </c>
      <c r="X9" s="11">
        <v>191853.84313059773</v>
      </c>
      <c r="Y9" s="1114">
        <f t="shared" si="8"/>
        <v>67631.905984201323</v>
      </c>
      <c r="Z9" s="11">
        <v>0</v>
      </c>
      <c r="AA9" s="1114">
        <f t="shared" si="9"/>
        <v>0</v>
      </c>
      <c r="AB9" s="11">
        <v>0</v>
      </c>
      <c r="AC9" s="1114">
        <f t="shared" si="10"/>
        <v>0</v>
      </c>
      <c r="AD9" s="11">
        <v>5755.2292823529524</v>
      </c>
      <c r="AE9" s="1114">
        <f t="shared" si="11"/>
        <v>2305.2287099794385</v>
      </c>
      <c r="AF9" s="11">
        <v>0</v>
      </c>
      <c r="AG9" s="1114">
        <f t="shared" si="12"/>
        <v>0</v>
      </c>
      <c r="AH9" s="1114">
        <f t="shared" si="13"/>
        <v>156070.40107716521</v>
      </c>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row>
    <row r="10" spans="1:92" x14ac:dyDescent="0.2">
      <c r="A10" s="9" t="s">
        <v>13</v>
      </c>
      <c r="B10" s="10">
        <v>2629</v>
      </c>
      <c r="C10" s="11">
        <f>SUMIF(AWPU!B:B,B10,AWPU!J:J)</f>
        <v>431</v>
      </c>
      <c r="D10" s="11">
        <f>SUMIF(AWPU!B:B,B10,AWPU!K:K)</f>
        <v>0</v>
      </c>
      <c r="E10" s="11">
        <f>SUMIF(AWPU!B:B,B10,AWPU!L:L)</f>
        <v>0</v>
      </c>
      <c r="F10" s="1114">
        <f t="shared" si="0"/>
        <v>132007.35397090344</v>
      </c>
      <c r="G10" s="11">
        <f>SUMIF(DEP!B:B,B10,DEP!O:O)</f>
        <v>359812.74109937332</v>
      </c>
      <c r="H10" s="1114">
        <f t="shared" si="1"/>
        <v>126840.41706365778</v>
      </c>
      <c r="I10" s="11">
        <f>SUMIF(LAC!B:B,B10,LAC!D:D)</f>
        <v>1454.4548571072319</v>
      </c>
      <c r="J10" s="1114">
        <f t="shared" si="2"/>
        <v>1454.4548571072319</v>
      </c>
      <c r="K10" s="11">
        <f>SUMIF(LCHI!B:B,B10,LCHI!D:D)</f>
        <v>0</v>
      </c>
      <c r="L10" s="1114">
        <f t="shared" si="3"/>
        <v>0</v>
      </c>
      <c r="M10" s="11">
        <f>SUMIF(EAL!B:B,B10,EAL!G:G)</f>
        <v>206825.1860867402</v>
      </c>
      <c r="N10" s="1114">
        <f t="shared" si="4"/>
        <v>82842.808430921155</v>
      </c>
      <c r="O10" s="11">
        <f>SUMIF(MOB!B:B,B10,MOB!G:G)</f>
        <v>24192.812917431151</v>
      </c>
      <c r="P10" s="1114">
        <f t="shared" si="5"/>
        <v>24192.812917431151</v>
      </c>
      <c r="Q10" s="1114">
        <f t="shared" si="6"/>
        <v>367337.84724002075</v>
      </c>
      <c r="R10" s="11">
        <v>367337.84724002075</v>
      </c>
      <c r="S10" s="11" t="s">
        <v>1118</v>
      </c>
      <c r="T10" s="11">
        <v>401</v>
      </c>
      <c r="U10" s="11">
        <v>0</v>
      </c>
      <c r="V10" s="11">
        <v>0</v>
      </c>
      <c r="W10" s="1114">
        <f t="shared" si="7"/>
        <v>117481.08782168968</v>
      </c>
      <c r="X10" s="11">
        <v>326948.89678145153</v>
      </c>
      <c r="Y10" s="1114">
        <f t="shared" si="8"/>
        <v>115255.32503255298</v>
      </c>
      <c r="Z10" s="11">
        <v>0</v>
      </c>
      <c r="AA10" s="1114">
        <f t="shared" si="9"/>
        <v>0</v>
      </c>
      <c r="AB10" s="11">
        <v>0</v>
      </c>
      <c r="AC10" s="1114">
        <f t="shared" si="10"/>
        <v>0</v>
      </c>
      <c r="AD10" s="11">
        <v>185092.6278072726</v>
      </c>
      <c r="AE10" s="1114">
        <f t="shared" si="11"/>
        <v>74137.939375444024</v>
      </c>
      <c r="AF10" s="11">
        <v>30096.60264039418</v>
      </c>
      <c r="AG10" s="1114">
        <f t="shared" si="12"/>
        <v>30096.60264039418</v>
      </c>
      <c r="AH10" s="1114">
        <f t="shared" si="13"/>
        <v>336970.95487008087</v>
      </c>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row>
    <row r="11" spans="1:92" x14ac:dyDescent="0.2">
      <c r="A11" s="9" t="s">
        <v>14</v>
      </c>
      <c r="B11" s="10">
        <v>2509</v>
      </c>
      <c r="C11" s="11">
        <f>SUMIF(AWPU!B:B,B11,AWPU!J:J)</f>
        <v>195</v>
      </c>
      <c r="D11" s="11">
        <f>SUMIF(AWPU!B:B,B11,AWPU!K:K)</f>
        <v>0</v>
      </c>
      <c r="E11" s="11">
        <f>SUMIF(AWPU!B:B,B11,AWPU!L:L)</f>
        <v>0</v>
      </c>
      <c r="F11" s="1114">
        <f t="shared" si="0"/>
        <v>59724.90492883102</v>
      </c>
      <c r="G11" s="11">
        <f>SUMIF(DEP!B:B,B11,DEP!O:O)</f>
        <v>106262.61238003393</v>
      </c>
      <c r="H11" s="1114">
        <f t="shared" si="1"/>
        <v>37459.468587397343</v>
      </c>
      <c r="I11" s="11">
        <f>SUMIF(LAC!B:B,B11,LAC!D:D)</f>
        <v>2706.4333999999999</v>
      </c>
      <c r="J11" s="1114">
        <f t="shared" si="2"/>
        <v>2706.4333999999999</v>
      </c>
      <c r="K11" s="11">
        <f>SUMIF(LCHI!B:B,B11,LCHI!D:D)</f>
        <v>0</v>
      </c>
      <c r="L11" s="1114">
        <f t="shared" si="3"/>
        <v>0</v>
      </c>
      <c r="M11" s="11">
        <f>SUMIF(EAL!B:B,B11,EAL!G:G)</f>
        <v>23677.229128378396</v>
      </c>
      <c r="N11" s="1114">
        <f t="shared" si="4"/>
        <v>9483.7973748257682</v>
      </c>
      <c r="O11" s="11">
        <f>SUMIF(MOB!B:B,B11,MOB!G:G)</f>
        <v>4198.880000000011</v>
      </c>
      <c r="P11" s="1114">
        <f t="shared" si="5"/>
        <v>4198.880000000011</v>
      </c>
      <c r="Q11" s="1114">
        <f t="shared" si="6"/>
        <v>113573.48429105413</v>
      </c>
      <c r="R11" s="11">
        <v>113573.48429105413</v>
      </c>
      <c r="S11" s="11" t="s">
        <v>1119</v>
      </c>
      <c r="T11" s="11">
        <v>188</v>
      </c>
      <c r="U11" s="11">
        <v>0</v>
      </c>
      <c r="V11" s="11">
        <v>0</v>
      </c>
      <c r="W11" s="1114">
        <f t="shared" si="7"/>
        <v>55078.415238098904</v>
      </c>
      <c r="X11" s="11">
        <v>98138.481181471579</v>
      </c>
      <c r="Y11" s="1114">
        <f t="shared" si="8"/>
        <v>34595.567252616849</v>
      </c>
      <c r="Z11" s="11">
        <v>3975.07405625</v>
      </c>
      <c r="AA11" s="1114">
        <f t="shared" si="9"/>
        <v>3975.07405625</v>
      </c>
      <c r="AB11" s="11">
        <v>0</v>
      </c>
      <c r="AC11" s="1114">
        <f t="shared" si="10"/>
        <v>0</v>
      </c>
      <c r="AD11" s="11">
        <v>22840.697229629579</v>
      </c>
      <c r="AE11" s="1114">
        <f t="shared" si="11"/>
        <v>9148.7286477252928</v>
      </c>
      <c r="AF11" s="11">
        <v>12236.735999999961</v>
      </c>
      <c r="AG11" s="1114">
        <f t="shared" si="12"/>
        <v>12236.735999999961</v>
      </c>
      <c r="AH11" s="1114">
        <f t="shared" si="13"/>
        <v>115034.52119469101</v>
      </c>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x14ac:dyDescent="0.2">
      <c r="A12" s="9" t="s">
        <v>15</v>
      </c>
      <c r="B12" s="10">
        <v>2005</v>
      </c>
      <c r="C12" s="11">
        <f>SUMIF(AWPU!B:B,B12,AWPU!J:J)</f>
        <v>323</v>
      </c>
      <c r="D12" s="11">
        <f>SUMIF(AWPU!B:B,B12,AWPU!K:K)</f>
        <v>0</v>
      </c>
      <c r="E12" s="11">
        <f>SUMIF(AWPU!B:B,B12,AWPU!L:L)</f>
        <v>0</v>
      </c>
      <c r="F12" s="1114">
        <f t="shared" si="0"/>
        <v>98928.945087243177</v>
      </c>
      <c r="G12" s="11">
        <f>SUMIF(DEP!B:B,B12,DEP!O:O)</f>
        <v>266622.09556290804</v>
      </c>
      <c r="H12" s="1114">
        <f t="shared" si="1"/>
        <v>93989.050238345138</v>
      </c>
      <c r="I12" s="11">
        <f>SUMIF(LAC!B:B,B12,LAC!D:D)</f>
        <v>0</v>
      </c>
      <c r="J12" s="1114">
        <f t="shared" si="2"/>
        <v>0</v>
      </c>
      <c r="K12" s="11">
        <f>SUMIF(LCHI!B:B,B12,LCHI!D:D)</f>
        <v>0</v>
      </c>
      <c r="L12" s="1114">
        <f t="shared" si="3"/>
        <v>0</v>
      </c>
      <c r="M12" s="11">
        <f>SUMIF(EAL!B:B,B12,EAL!G:G)</f>
        <v>30821.807695683321</v>
      </c>
      <c r="N12" s="1114">
        <f t="shared" si="4"/>
        <v>12345.523090003804</v>
      </c>
      <c r="O12" s="11">
        <f>SUMIF(MOB!B:B,B12,MOB!G:G)</f>
        <v>34430.816000000123</v>
      </c>
      <c r="P12" s="1114">
        <f t="shared" si="5"/>
        <v>34430.816000000123</v>
      </c>
      <c r="Q12" s="1114">
        <f t="shared" si="6"/>
        <v>239694.33441559225</v>
      </c>
      <c r="R12" s="11">
        <v>239694.33441559225</v>
      </c>
      <c r="S12" s="11" t="s">
        <v>1120</v>
      </c>
      <c r="T12" s="11">
        <v>300</v>
      </c>
      <c r="U12" s="11">
        <v>0</v>
      </c>
      <c r="V12" s="11">
        <v>0</v>
      </c>
      <c r="W12" s="1114">
        <f t="shared" si="7"/>
        <v>87891.088145902511</v>
      </c>
      <c r="X12" s="11">
        <v>265695.97487399937</v>
      </c>
      <c r="Y12" s="1114">
        <f t="shared" si="8"/>
        <v>93662.576156094641</v>
      </c>
      <c r="Z12" s="11">
        <v>2706.4333999999999</v>
      </c>
      <c r="AA12" s="1114">
        <f t="shared" si="9"/>
        <v>2706.4333999999999</v>
      </c>
      <c r="AB12" s="11">
        <v>0</v>
      </c>
      <c r="AC12" s="1114">
        <f t="shared" si="10"/>
        <v>0</v>
      </c>
      <c r="AD12" s="11">
        <v>17668.997489878544</v>
      </c>
      <c r="AE12" s="1114">
        <f t="shared" si="11"/>
        <v>7077.2298186476892</v>
      </c>
      <c r="AF12" s="11">
        <v>8397.7599999998802</v>
      </c>
      <c r="AG12" s="1114">
        <f t="shared" si="12"/>
        <v>8397.7599999998802</v>
      </c>
      <c r="AH12" s="1114">
        <f t="shared" si="13"/>
        <v>199735.08752064471</v>
      </c>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row>
    <row r="13" spans="1:92" x14ac:dyDescent="0.2">
      <c r="A13" s="9" t="s">
        <v>16</v>
      </c>
      <c r="B13" s="10">
        <v>2464</v>
      </c>
      <c r="C13" s="11">
        <f>SUMIF(AWPU!B:B,B13,AWPU!J:J)</f>
        <v>192</v>
      </c>
      <c r="D13" s="11">
        <f>SUMIF(AWPU!B:B,B13,AWPU!K:K)</f>
        <v>0</v>
      </c>
      <c r="E13" s="11">
        <f>SUMIF(AWPU!B:B,B13,AWPU!L:L)</f>
        <v>0</v>
      </c>
      <c r="F13" s="1114">
        <f t="shared" si="0"/>
        <v>58806.060237618236</v>
      </c>
      <c r="G13" s="11">
        <f>SUMIF(DEP!B:B,B13,DEP!O:O)</f>
        <v>97458.002307210176</v>
      </c>
      <c r="H13" s="1114">
        <f t="shared" si="1"/>
        <v>34355.686296899148</v>
      </c>
      <c r="I13" s="11">
        <f>SUMIF(LAC!B:B,B13,LAC!D:D)</f>
        <v>0</v>
      </c>
      <c r="J13" s="1114">
        <f t="shared" si="2"/>
        <v>0</v>
      </c>
      <c r="K13" s="11">
        <f>SUMIF(LCHI!B:B,B13,LCHI!D:D)</f>
        <v>0</v>
      </c>
      <c r="L13" s="1114">
        <f t="shared" si="3"/>
        <v>0</v>
      </c>
      <c r="M13" s="11">
        <f>SUMIF(EAL!B:B,B13,EAL!G:G)</f>
        <v>1007.9809177914103</v>
      </c>
      <c r="N13" s="1114">
        <f t="shared" si="4"/>
        <v>403.7417862619364</v>
      </c>
      <c r="O13" s="11">
        <f>SUMIF(MOB!B:B,B13,MOB!G:G)</f>
        <v>0</v>
      </c>
      <c r="P13" s="1114">
        <f t="shared" si="5"/>
        <v>0</v>
      </c>
      <c r="Q13" s="1114">
        <f t="shared" si="6"/>
        <v>93565.488320779317</v>
      </c>
      <c r="R13" s="11">
        <v>93565.488320779317</v>
      </c>
      <c r="S13" s="11" t="s">
        <v>1121</v>
      </c>
      <c r="T13" s="11">
        <v>186</v>
      </c>
      <c r="U13" s="11">
        <v>0</v>
      </c>
      <c r="V13" s="11">
        <v>0</v>
      </c>
      <c r="W13" s="1114">
        <f t="shared" si="7"/>
        <v>54492.474650459553</v>
      </c>
      <c r="X13" s="11">
        <v>94618.452167525829</v>
      </c>
      <c r="Y13" s="1114">
        <f t="shared" si="8"/>
        <v>33354.694161683852</v>
      </c>
      <c r="Z13" s="11">
        <v>1471.9199192982453</v>
      </c>
      <c r="AA13" s="1114">
        <f t="shared" si="9"/>
        <v>1471.9199192982453</v>
      </c>
      <c r="AB13" s="11">
        <v>0</v>
      </c>
      <c r="AC13" s="1114">
        <f t="shared" si="10"/>
        <v>0</v>
      </c>
      <c r="AD13" s="11">
        <v>1026.8805600000005</v>
      </c>
      <c r="AE13" s="1114">
        <f t="shared" si="11"/>
        <v>411.31194475434819</v>
      </c>
      <c r="AF13" s="11">
        <v>0</v>
      </c>
      <c r="AG13" s="1114">
        <f t="shared" si="12"/>
        <v>0</v>
      </c>
      <c r="AH13" s="1114">
        <f t="shared" si="13"/>
        <v>89730.400676196004</v>
      </c>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row>
    <row r="14" spans="1:92" x14ac:dyDescent="0.2">
      <c r="A14" s="9" t="s">
        <v>17</v>
      </c>
      <c r="B14" s="10">
        <v>2004</v>
      </c>
      <c r="C14" s="11">
        <f>SUMIF(AWPU!B:B,B14,AWPU!J:J)</f>
        <v>272</v>
      </c>
      <c r="D14" s="11">
        <f>SUMIF(AWPU!B:B,B14,AWPU!K:K)</f>
        <v>0</v>
      </c>
      <c r="E14" s="11">
        <f>SUMIF(AWPU!B:B,B14,AWPU!L:L)</f>
        <v>0</v>
      </c>
      <c r="F14" s="1114">
        <f t="shared" si="0"/>
        <v>83308.585336625838</v>
      </c>
      <c r="G14" s="11">
        <f>SUMIF(DEP!B:B,B14,DEP!O:O)</f>
        <v>350956.08662044629</v>
      </c>
      <c r="H14" s="1114">
        <f t="shared" si="1"/>
        <v>123718.28819055718</v>
      </c>
      <c r="I14" s="11">
        <f>SUMIF(LAC!B:B,B14,LAC!D:D)</f>
        <v>0</v>
      </c>
      <c r="J14" s="1114">
        <f t="shared" si="2"/>
        <v>0</v>
      </c>
      <c r="K14" s="11">
        <f>SUMIF(LCHI!B:B,B14,LCHI!D:D)</f>
        <v>0</v>
      </c>
      <c r="L14" s="1114">
        <f t="shared" si="3"/>
        <v>0</v>
      </c>
      <c r="M14" s="11">
        <f>SUMIF(EAL!B:B,B14,EAL!G:G)</f>
        <v>13691.740799999998</v>
      </c>
      <c r="N14" s="1114">
        <f t="shared" si="4"/>
        <v>5484.159263391306</v>
      </c>
      <c r="O14" s="11">
        <f>SUMIF(MOB!B:B,B14,MOB!G:G)</f>
        <v>5758.4639999998626</v>
      </c>
      <c r="P14" s="1114">
        <f t="shared" si="5"/>
        <v>5758.4639999998626</v>
      </c>
      <c r="Q14" s="1114">
        <f t="shared" si="6"/>
        <v>218269.49679057419</v>
      </c>
      <c r="R14" s="11">
        <v>218269.49679057422</v>
      </c>
      <c r="S14" s="11" t="s">
        <v>1122</v>
      </c>
      <c r="T14" s="11">
        <v>265</v>
      </c>
      <c r="U14" s="11">
        <v>0</v>
      </c>
      <c r="V14" s="11">
        <v>0</v>
      </c>
      <c r="W14" s="1114">
        <f t="shared" si="7"/>
        <v>77637.127862213878</v>
      </c>
      <c r="X14" s="11">
        <v>346597.0785961824</v>
      </c>
      <c r="Y14" s="1114">
        <f t="shared" si="8"/>
        <v>122181.66001532321</v>
      </c>
      <c r="Z14" s="11">
        <v>2903.6633643724695</v>
      </c>
      <c r="AA14" s="1114">
        <f t="shared" si="9"/>
        <v>2903.6633643724695</v>
      </c>
      <c r="AB14" s="11">
        <v>0</v>
      </c>
      <c r="AC14" s="1114">
        <f t="shared" si="10"/>
        <v>0</v>
      </c>
      <c r="AD14" s="11">
        <v>3135.0616175115142</v>
      </c>
      <c r="AE14" s="1114">
        <f t="shared" si="11"/>
        <v>1255.7334718882719</v>
      </c>
      <c r="AF14" s="11">
        <v>8997.6000000000513</v>
      </c>
      <c r="AG14" s="1114">
        <f t="shared" si="12"/>
        <v>8997.6000000000513</v>
      </c>
      <c r="AH14" s="1114">
        <f t="shared" si="13"/>
        <v>212975.78471379788</v>
      </c>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row>
    <row r="15" spans="1:92" x14ac:dyDescent="0.2">
      <c r="A15" s="9" t="s">
        <v>18</v>
      </c>
      <c r="B15" s="10">
        <v>2405</v>
      </c>
      <c r="C15" s="11">
        <f>SUMIF(AWPU!B:B,B15,AWPU!J:J)</f>
        <v>201</v>
      </c>
      <c r="D15" s="11">
        <f>SUMIF(AWPU!B:B,B15,AWPU!K:K)</f>
        <v>0</v>
      </c>
      <c r="E15" s="11">
        <f>SUMIF(AWPU!B:B,B15,AWPU!L:L)</f>
        <v>0</v>
      </c>
      <c r="F15" s="1114">
        <f t="shared" si="0"/>
        <v>61562.594311256587</v>
      </c>
      <c r="G15" s="11">
        <f>SUMIF(DEP!B:B,B15,DEP!O:O)</f>
        <v>190167.49574074239</v>
      </c>
      <c r="H15" s="1114">
        <f t="shared" si="1"/>
        <v>67037.43841312555</v>
      </c>
      <c r="I15" s="11">
        <f>SUMIF(LAC!B:B,B15,LAC!D:D)</f>
        <v>0</v>
      </c>
      <c r="J15" s="1114">
        <f t="shared" si="2"/>
        <v>0</v>
      </c>
      <c r="K15" s="11">
        <f>SUMIF(LCHI!B:B,B15,LCHI!D:D)</f>
        <v>0</v>
      </c>
      <c r="L15" s="1114">
        <f t="shared" si="3"/>
        <v>0</v>
      </c>
      <c r="M15" s="11">
        <f>SUMIF(EAL!B:B,B15,EAL!G:G)</f>
        <v>34011.792559321977</v>
      </c>
      <c r="N15" s="1114">
        <f t="shared" si="4"/>
        <v>13623.255797301475</v>
      </c>
      <c r="O15" s="11">
        <f>SUMIF(MOB!B:B,B15,MOB!G:G)</f>
        <v>0</v>
      </c>
      <c r="P15" s="1114">
        <f t="shared" si="5"/>
        <v>0</v>
      </c>
      <c r="Q15" s="1114">
        <f t="shared" si="6"/>
        <v>142223.2885216836</v>
      </c>
      <c r="R15" s="11">
        <v>142223.28852168363</v>
      </c>
      <c r="S15" s="11" t="s">
        <v>1123</v>
      </c>
      <c r="T15" s="11">
        <v>196</v>
      </c>
      <c r="U15" s="11">
        <v>0</v>
      </c>
      <c r="V15" s="11">
        <v>0</v>
      </c>
      <c r="W15" s="1114">
        <f t="shared" si="7"/>
        <v>57422.177588656305</v>
      </c>
      <c r="X15" s="11">
        <v>191359.1351975131</v>
      </c>
      <c r="Y15" s="1114">
        <f t="shared" si="8"/>
        <v>67457.512602895731</v>
      </c>
      <c r="Z15" s="11">
        <v>1403.335837037037</v>
      </c>
      <c r="AA15" s="1114">
        <f t="shared" si="9"/>
        <v>1403.335837037037</v>
      </c>
      <c r="AB15" s="11">
        <v>0</v>
      </c>
      <c r="AC15" s="1114">
        <f t="shared" si="10"/>
        <v>0</v>
      </c>
      <c r="AD15" s="11">
        <v>39233.643228070214</v>
      </c>
      <c r="AE15" s="1114">
        <f t="shared" si="11"/>
        <v>15714.842333694403</v>
      </c>
      <c r="AF15" s="11">
        <v>7915.5123960396832</v>
      </c>
      <c r="AG15" s="1114">
        <f t="shared" si="12"/>
        <v>7915.5123960396832</v>
      </c>
      <c r="AH15" s="1114">
        <f t="shared" si="13"/>
        <v>149913.38075832315</v>
      </c>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x14ac:dyDescent="0.2">
      <c r="A16" s="9" t="s">
        <v>95</v>
      </c>
      <c r="B16" s="10">
        <v>2011</v>
      </c>
      <c r="C16" s="11">
        <f>SUMIF(AWPU!B:B,B16,AWPU!J:J)</f>
        <v>214</v>
      </c>
      <c r="D16" s="11">
        <f>SUMIF(AWPU!B:B,B16,AWPU!K:K)</f>
        <v>0</v>
      </c>
      <c r="E16" s="11">
        <f>SUMIF(AWPU!B:B,B16,AWPU!L:L)</f>
        <v>0</v>
      </c>
      <c r="F16" s="1114">
        <f t="shared" si="0"/>
        <v>65544.254639845327</v>
      </c>
      <c r="G16" s="11">
        <f>SUMIF(DEP!B:B,B16,DEP!O:O)</f>
        <v>133684.05204528177</v>
      </c>
      <c r="H16" s="1114">
        <f t="shared" si="1"/>
        <v>47126.015783582836</v>
      </c>
      <c r="I16" s="11">
        <f>SUMIF(LAC!B:B,B16,LAC!D:D)</f>
        <v>0</v>
      </c>
      <c r="J16" s="1114">
        <f t="shared" si="2"/>
        <v>0</v>
      </c>
      <c r="K16" s="11">
        <f>SUMIF(LCHI!B:B,B16,LCHI!D:D)</f>
        <v>0</v>
      </c>
      <c r="L16" s="1114">
        <f t="shared" si="3"/>
        <v>0</v>
      </c>
      <c r="M16" s="11">
        <f>SUMIF(EAL!B:B,B16,EAL!G:G)</f>
        <v>10061.924901098893</v>
      </c>
      <c r="N16" s="1114">
        <f t="shared" si="4"/>
        <v>4030.2544037284983</v>
      </c>
      <c r="O16" s="11">
        <f>SUMIF(MOB!B:B,B16,MOB!G:G)</f>
        <v>0</v>
      </c>
      <c r="P16" s="1114">
        <f t="shared" si="5"/>
        <v>0</v>
      </c>
      <c r="Q16" s="1114">
        <f t="shared" si="6"/>
        <v>116700.52482715665</v>
      </c>
      <c r="R16" s="11">
        <v>116700.52482715667</v>
      </c>
      <c r="S16" s="11">
        <v>8312011</v>
      </c>
      <c r="T16" s="11">
        <v>209</v>
      </c>
      <c r="U16" s="11">
        <v>0</v>
      </c>
      <c r="V16" s="11">
        <v>0</v>
      </c>
      <c r="W16" s="1114">
        <f t="shared" si="7"/>
        <v>61230.791408312078</v>
      </c>
      <c r="X16" s="11">
        <v>127518.86069797153</v>
      </c>
      <c r="Y16" s="1114">
        <f t="shared" si="8"/>
        <v>44952.675730696508</v>
      </c>
      <c r="Z16" s="11">
        <v>0</v>
      </c>
      <c r="AA16" s="1114">
        <f t="shared" si="9"/>
        <v>0</v>
      </c>
      <c r="AB16" s="11">
        <v>0</v>
      </c>
      <c r="AC16" s="1114">
        <f t="shared" si="10"/>
        <v>0</v>
      </c>
      <c r="AD16" s="11">
        <v>12988.987344134086</v>
      </c>
      <c r="AE16" s="1114">
        <f t="shared" si="11"/>
        <v>5202.6748319253456</v>
      </c>
      <c r="AF16" s="11">
        <v>0</v>
      </c>
      <c r="AG16" s="1114">
        <f t="shared" si="12"/>
        <v>0</v>
      </c>
      <c r="AH16" s="1114">
        <f t="shared" si="13"/>
        <v>111386.14197093394</v>
      </c>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x14ac:dyDescent="0.2">
      <c r="A17" s="9" t="s">
        <v>20</v>
      </c>
      <c r="B17" s="10">
        <v>5201</v>
      </c>
      <c r="C17" s="11">
        <f>SUMIF(AWPU!B:B,B17,AWPU!J:J)</f>
        <v>419</v>
      </c>
      <c r="D17" s="11">
        <f>SUMIF(AWPU!B:B,B17,AWPU!K:K)</f>
        <v>0</v>
      </c>
      <c r="E17" s="11">
        <f>SUMIF(AWPU!B:B,B17,AWPU!L:L)</f>
        <v>0</v>
      </c>
      <c r="F17" s="1114">
        <f t="shared" si="0"/>
        <v>128331.9752060523</v>
      </c>
      <c r="G17" s="11">
        <f>SUMIF(DEP!B:B,B17,DEP!O:O)</f>
        <v>89432.584876583103</v>
      </c>
      <c r="H17" s="1114">
        <f t="shared" si="1"/>
        <v>31526.583328225923</v>
      </c>
      <c r="I17" s="11">
        <f>SUMIF(LAC!B:B,B17,LAC!D:D)</f>
        <v>1431.8126194444444</v>
      </c>
      <c r="J17" s="1114">
        <f t="shared" si="2"/>
        <v>1431.8126194444444</v>
      </c>
      <c r="K17" s="11">
        <f>SUMIF(LCHI!B:B,B17,LCHI!D:D)</f>
        <v>0</v>
      </c>
      <c r="L17" s="1114">
        <f t="shared" si="3"/>
        <v>0</v>
      </c>
      <c r="M17" s="11">
        <f>SUMIF(EAL!B:B,B17,EAL!G:G)</f>
        <v>2987.9371849999989</v>
      </c>
      <c r="N17" s="1114">
        <f t="shared" si="4"/>
        <v>1196.803505917165</v>
      </c>
      <c r="O17" s="11">
        <f>SUMIF(MOB!B:B,B17,MOB!G:G)</f>
        <v>0</v>
      </c>
      <c r="P17" s="1114">
        <f t="shared" si="5"/>
        <v>0</v>
      </c>
      <c r="Q17" s="1114">
        <f t="shared" si="6"/>
        <v>162487.17465963983</v>
      </c>
      <c r="R17" s="11">
        <v>162487.17465963989</v>
      </c>
      <c r="S17" s="11" t="s">
        <v>1127</v>
      </c>
      <c r="T17" s="11">
        <v>392</v>
      </c>
      <c r="U17" s="11">
        <v>0</v>
      </c>
      <c r="V17" s="11">
        <v>0</v>
      </c>
      <c r="W17" s="1114">
        <f t="shared" si="7"/>
        <v>114844.35517731261</v>
      </c>
      <c r="X17" s="11">
        <v>81880.593081454688</v>
      </c>
      <c r="Y17" s="1114">
        <f t="shared" si="8"/>
        <v>28864.371350882804</v>
      </c>
      <c r="Z17" s="11">
        <v>0</v>
      </c>
      <c r="AA17" s="1114">
        <f t="shared" si="9"/>
        <v>0</v>
      </c>
      <c r="AB17" s="11">
        <v>0</v>
      </c>
      <c r="AC17" s="1114">
        <f t="shared" si="10"/>
        <v>0</v>
      </c>
      <c r="AD17" s="11">
        <v>0</v>
      </c>
      <c r="AE17" s="1114">
        <f t="shared" si="11"/>
        <v>0</v>
      </c>
      <c r="AF17" s="11">
        <v>0</v>
      </c>
      <c r="AG17" s="1114">
        <f t="shared" si="12"/>
        <v>0</v>
      </c>
      <c r="AH17" s="1114">
        <f t="shared" si="13"/>
        <v>143708.7265281954</v>
      </c>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row>
    <row r="18" spans="1:92" x14ac:dyDescent="0.2">
      <c r="A18" s="9" t="s">
        <v>96</v>
      </c>
      <c r="B18" s="10">
        <v>2007</v>
      </c>
      <c r="C18" s="11">
        <f>SUMIF(AWPU!B:B,B18,AWPU!J:J)</f>
        <v>304</v>
      </c>
      <c r="D18" s="11">
        <f>SUMIF(AWPU!B:B,B18,AWPU!K:K)</f>
        <v>0</v>
      </c>
      <c r="E18" s="11">
        <f>SUMIF(AWPU!B:B,B18,AWPU!L:L)</f>
        <v>0</v>
      </c>
      <c r="F18" s="1114">
        <f t="shared" si="0"/>
        <v>93109.59537622887</v>
      </c>
      <c r="G18" s="11">
        <f>SUMIF(DEP!B:B,B18,DEP!O:O)</f>
        <v>311276.45382599882</v>
      </c>
      <c r="H18" s="1114">
        <f t="shared" si="1"/>
        <v>109730.50899962938</v>
      </c>
      <c r="I18" s="11">
        <f>SUMIF(LAC!B:B,B18,LAC!D:D)</f>
        <v>3116.4990666666667</v>
      </c>
      <c r="J18" s="1114">
        <f t="shared" si="2"/>
        <v>3116.4990666666667</v>
      </c>
      <c r="K18" s="11">
        <f>SUMIF(LCHI!B:B,B18,LCHI!D:D)</f>
        <v>0</v>
      </c>
      <c r="L18" s="1114">
        <f t="shared" si="3"/>
        <v>0</v>
      </c>
      <c r="M18" s="11">
        <f>SUMIF(EAL!B:B,B18,EAL!G:G)</f>
        <v>37894.857411023702</v>
      </c>
      <c r="N18" s="1114">
        <f t="shared" si="4"/>
        <v>15178.598276236602</v>
      </c>
      <c r="O18" s="11">
        <f>SUMIF(MOB!B:B,B18,MOB!G:G)</f>
        <v>16315.647999999941</v>
      </c>
      <c r="P18" s="1114">
        <f t="shared" si="5"/>
        <v>16315.647999999941</v>
      </c>
      <c r="Q18" s="1114">
        <f t="shared" si="6"/>
        <v>237450.84971876146</v>
      </c>
      <c r="R18" s="11">
        <v>237450.84971876146</v>
      </c>
      <c r="S18" s="11" t="s">
        <v>1128</v>
      </c>
      <c r="T18" s="11">
        <v>259</v>
      </c>
      <c r="U18" s="11">
        <v>0</v>
      </c>
      <c r="V18" s="11">
        <v>0</v>
      </c>
      <c r="W18" s="1114">
        <f t="shared" si="7"/>
        <v>75879.306099295834</v>
      </c>
      <c r="X18" s="11">
        <v>275514.37990837148</v>
      </c>
      <c r="Y18" s="1114">
        <f t="shared" si="8"/>
        <v>97123.739275706699</v>
      </c>
      <c r="Z18" s="11">
        <v>2826.4768169354838</v>
      </c>
      <c r="AA18" s="1114">
        <f t="shared" si="9"/>
        <v>2826.4768169354838</v>
      </c>
      <c r="AB18" s="11">
        <v>0</v>
      </c>
      <c r="AC18" s="1114">
        <f t="shared" si="10"/>
        <v>0</v>
      </c>
      <c r="AD18" s="11">
        <v>34566.935058715688</v>
      </c>
      <c r="AE18" s="1114">
        <f t="shared" si="11"/>
        <v>13845.615388022929</v>
      </c>
      <c r="AF18" s="11">
        <v>0</v>
      </c>
      <c r="AG18" s="1114">
        <f t="shared" si="12"/>
        <v>0</v>
      </c>
      <c r="AH18" s="1114">
        <f t="shared" si="13"/>
        <v>189675.13757996092</v>
      </c>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row>
    <row r="19" spans="1:92" x14ac:dyDescent="0.2">
      <c r="A19" s="9" t="s">
        <v>21</v>
      </c>
      <c r="B19" s="10">
        <v>2433</v>
      </c>
      <c r="C19" s="11">
        <f>SUMIF(AWPU!B:B,B19,AWPU!J:J)</f>
        <v>172</v>
      </c>
      <c r="D19" s="11">
        <f>SUMIF(AWPU!B:B,B19,AWPU!K:K)</f>
        <v>0</v>
      </c>
      <c r="E19" s="11">
        <f>SUMIF(AWPU!B:B,B19,AWPU!L:L)</f>
        <v>0</v>
      </c>
      <c r="F19" s="1114">
        <f t="shared" si="0"/>
        <v>52680.428962866339</v>
      </c>
      <c r="G19" s="11">
        <f>SUMIF(DEP!B:B,B19,DEP!O:O)</f>
        <v>127101.08566324913</v>
      </c>
      <c r="H19" s="1114">
        <f t="shared" si="1"/>
        <v>44805.402569993348</v>
      </c>
      <c r="I19" s="11">
        <f>SUMIF(LAC!B:B,B19,LAC!D:D)</f>
        <v>0</v>
      </c>
      <c r="J19" s="1114">
        <f t="shared" si="2"/>
        <v>0</v>
      </c>
      <c r="K19" s="11">
        <f>SUMIF(LCHI!B:B,B19,LCHI!D:D)</f>
        <v>0</v>
      </c>
      <c r="L19" s="1114">
        <f t="shared" si="3"/>
        <v>0</v>
      </c>
      <c r="M19" s="11">
        <f>SUMIF(EAL!B:B,B19,EAL!G:G)</f>
        <v>12648.815231249999</v>
      </c>
      <c r="N19" s="1114">
        <f t="shared" si="4"/>
        <v>5066.420569500172</v>
      </c>
      <c r="O19" s="11">
        <f>SUMIF(MOB!B:B,B19,MOB!G:G)</f>
        <v>0</v>
      </c>
      <c r="P19" s="1114">
        <f t="shared" si="5"/>
        <v>0</v>
      </c>
      <c r="Q19" s="1114">
        <f t="shared" si="6"/>
        <v>102552.25210235987</v>
      </c>
      <c r="R19" s="11">
        <v>102552.25210235985</v>
      </c>
      <c r="S19" s="11" t="s">
        <v>1130</v>
      </c>
      <c r="T19" s="11">
        <v>169</v>
      </c>
      <c r="U19" s="11">
        <v>0</v>
      </c>
      <c r="V19" s="11">
        <v>0</v>
      </c>
      <c r="W19" s="1114">
        <f t="shared" si="7"/>
        <v>49511.97965552508</v>
      </c>
      <c r="X19" s="11">
        <v>124310.8926920931</v>
      </c>
      <c r="Y19" s="1114">
        <f t="shared" si="8"/>
        <v>43821.80971814441</v>
      </c>
      <c r="Z19" s="11">
        <v>0</v>
      </c>
      <c r="AA19" s="1114">
        <f t="shared" si="9"/>
        <v>0</v>
      </c>
      <c r="AB19" s="11">
        <v>0</v>
      </c>
      <c r="AC19" s="1114">
        <f t="shared" si="10"/>
        <v>0</v>
      </c>
      <c r="AD19" s="11">
        <v>11387.323795275595</v>
      </c>
      <c r="AE19" s="1114">
        <f t="shared" si="11"/>
        <v>4561.1363952417878</v>
      </c>
      <c r="AF19" s="11">
        <v>0</v>
      </c>
      <c r="AG19" s="1114">
        <f t="shared" si="12"/>
        <v>0</v>
      </c>
      <c r="AH19" s="1114">
        <f t="shared" si="13"/>
        <v>97894.925768911286</v>
      </c>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row>
    <row r="20" spans="1:92" x14ac:dyDescent="0.2">
      <c r="A20" s="9" t="s">
        <v>22</v>
      </c>
      <c r="B20" s="10">
        <v>2432</v>
      </c>
      <c r="C20" s="11">
        <f>SUMIF(AWPU!B:B,B20,AWPU!J:J)</f>
        <v>205</v>
      </c>
      <c r="D20" s="11">
        <f>SUMIF(AWPU!B:B,B20,AWPU!K:K)</f>
        <v>0</v>
      </c>
      <c r="E20" s="11">
        <f>SUMIF(AWPU!B:B,B20,AWPU!L:L)</f>
        <v>0</v>
      </c>
      <c r="F20" s="1114">
        <f t="shared" si="0"/>
        <v>62787.720566206968</v>
      </c>
      <c r="G20" s="11">
        <f>SUMIF(DEP!B:B,B20,DEP!O:O)</f>
        <v>161276.20753415918</v>
      </c>
      <c r="H20" s="1114">
        <f t="shared" si="1"/>
        <v>56852.743356378618</v>
      </c>
      <c r="I20" s="11">
        <f>SUMIF(LAC!B:B,B20,LAC!D:D)</f>
        <v>1155.8725979166666</v>
      </c>
      <c r="J20" s="1114">
        <f t="shared" si="2"/>
        <v>1155.8725979166666</v>
      </c>
      <c r="K20" s="11">
        <f>SUMIF(LCHI!B:B,B20,LCHI!D:D)</f>
        <v>0</v>
      </c>
      <c r="L20" s="1114">
        <f t="shared" si="3"/>
        <v>0</v>
      </c>
      <c r="M20" s="11">
        <f>SUMIF(EAL!B:B,B20,EAL!G:G)</f>
        <v>4331.4920740740808</v>
      </c>
      <c r="N20" s="1114">
        <f t="shared" si="4"/>
        <v>1734.9577916592896</v>
      </c>
      <c r="O20" s="11">
        <f>SUMIF(MOB!B:B,B20,MOB!G:G)</f>
        <v>0</v>
      </c>
      <c r="P20" s="1114">
        <f t="shared" si="5"/>
        <v>0</v>
      </c>
      <c r="Q20" s="1114">
        <f t="shared" si="6"/>
        <v>122531.29431216154</v>
      </c>
      <c r="R20" s="11">
        <v>122531.29431216154</v>
      </c>
      <c r="S20" s="11" t="s">
        <v>1131</v>
      </c>
      <c r="T20" s="11">
        <v>199</v>
      </c>
      <c r="U20" s="11">
        <v>0</v>
      </c>
      <c r="V20" s="11">
        <v>0</v>
      </c>
      <c r="W20" s="1114">
        <f t="shared" si="7"/>
        <v>58301.088470115326</v>
      </c>
      <c r="X20" s="11">
        <v>161063.39271293581</v>
      </c>
      <c r="Y20" s="1114">
        <f t="shared" si="8"/>
        <v>56777.722331278659</v>
      </c>
      <c r="Z20" s="11">
        <v>2262.9422126050417</v>
      </c>
      <c r="AA20" s="1114">
        <f t="shared" si="9"/>
        <v>2262.9422126050417</v>
      </c>
      <c r="AB20" s="11">
        <v>0</v>
      </c>
      <c r="AC20" s="1114">
        <f t="shared" si="10"/>
        <v>0</v>
      </c>
      <c r="AD20" s="11">
        <v>737.19058961038968</v>
      </c>
      <c r="AE20" s="1114">
        <f t="shared" si="11"/>
        <v>295.27805557761639</v>
      </c>
      <c r="AF20" s="11">
        <v>0</v>
      </c>
      <c r="AG20" s="1114">
        <f t="shared" si="12"/>
        <v>0</v>
      </c>
      <c r="AH20" s="1114">
        <f t="shared" si="13"/>
        <v>117637.03106957665</v>
      </c>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row>
    <row r="21" spans="1:92" x14ac:dyDescent="0.2">
      <c r="A21" s="9" t="s">
        <v>199</v>
      </c>
      <c r="B21" s="10">
        <v>2447</v>
      </c>
      <c r="C21" s="11">
        <f>SUMIF(AWPU!B:B,B21,AWPU!J:J)</f>
        <v>419</v>
      </c>
      <c r="D21" s="11">
        <f>SUMIF(AWPU!B:B,B21,AWPU!K:K)</f>
        <v>0</v>
      </c>
      <c r="E21" s="11">
        <f>SUMIF(AWPU!B:B,B21,AWPU!L:L)</f>
        <v>0</v>
      </c>
      <c r="F21" s="1114">
        <f t="shared" si="0"/>
        <v>128331.9752060523</v>
      </c>
      <c r="G21" s="11">
        <f>SUMIF(DEP!B:B,B21,DEP!O:O)</f>
        <v>303827.40223404201</v>
      </c>
      <c r="H21" s="1114">
        <f t="shared" si="1"/>
        <v>107104.58528229342</v>
      </c>
      <c r="I21" s="11">
        <f>SUMIF(LAC!B:B,B21,LAC!D:D)</f>
        <v>2508.8398110619464</v>
      </c>
      <c r="J21" s="1114">
        <f t="shared" si="2"/>
        <v>2508.8398110619464</v>
      </c>
      <c r="K21" s="11">
        <f>SUMIF(LCHI!B:B,B21,LCHI!D:D)</f>
        <v>0</v>
      </c>
      <c r="L21" s="1114">
        <f t="shared" si="3"/>
        <v>0</v>
      </c>
      <c r="M21" s="11">
        <f>SUMIF(EAL!B:B,B21,EAL!G:G)</f>
        <v>13394.201174137945</v>
      </c>
      <c r="N21" s="1114">
        <f t="shared" si="4"/>
        <v>5364.9812334217813</v>
      </c>
      <c r="O21" s="11">
        <f>SUMIF(MOB!B:B,B21,MOB!G:G)</f>
        <v>0</v>
      </c>
      <c r="P21" s="1114">
        <f t="shared" si="5"/>
        <v>0</v>
      </c>
      <c r="Q21" s="1114">
        <f t="shared" si="6"/>
        <v>243310.38153282946</v>
      </c>
      <c r="R21" s="11">
        <v>243310.38153282946</v>
      </c>
      <c r="S21" s="11" t="s">
        <v>1132</v>
      </c>
      <c r="T21" s="11">
        <v>402</v>
      </c>
      <c r="U21" s="11">
        <v>0</v>
      </c>
      <c r="V21" s="11">
        <v>0</v>
      </c>
      <c r="W21" s="1114">
        <f t="shared" si="7"/>
        <v>117774.05811550935</v>
      </c>
      <c r="X21" s="11">
        <v>259346.43139420176</v>
      </c>
      <c r="Y21" s="1114">
        <f t="shared" si="8"/>
        <v>91424.248684197446</v>
      </c>
      <c r="Z21" s="11">
        <v>2850.5730234335842</v>
      </c>
      <c r="AA21" s="1114">
        <f t="shared" si="9"/>
        <v>2850.5730234335842</v>
      </c>
      <c r="AB21" s="11">
        <v>0</v>
      </c>
      <c r="AC21" s="1114">
        <f t="shared" si="10"/>
        <v>0</v>
      </c>
      <c r="AD21" s="11">
        <v>21370.825689473681</v>
      </c>
      <c r="AE21" s="1114">
        <f t="shared" si="11"/>
        <v>8559.9788502604424</v>
      </c>
      <c r="AF21" s="11">
        <v>0</v>
      </c>
      <c r="AG21" s="1114">
        <f t="shared" si="12"/>
        <v>0</v>
      </c>
      <c r="AH21" s="1114">
        <f t="shared" si="13"/>
        <v>220608.85867340083</v>
      </c>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row>
    <row r="22" spans="1:92" x14ac:dyDescent="0.2">
      <c r="A22" s="9" t="s">
        <v>23</v>
      </c>
      <c r="B22" s="10">
        <v>2512</v>
      </c>
      <c r="C22" s="11">
        <f>SUMIF(AWPU!B:B,B22,AWPU!J:J)</f>
        <v>206</v>
      </c>
      <c r="D22" s="11">
        <f>SUMIF(AWPU!B:B,B22,AWPU!K:K)</f>
        <v>0</v>
      </c>
      <c r="E22" s="11">
        <f>SUMIF(AWPU!B:B,B22,AWPU!L:L)</f>
        <v>0</v>
      </c>
      <c r="F22" s="1114">
        <f t="shared" si="0"/>
        <v>63094.002129944565</v>
      </c>
      <c r="G22" s="11">
        <f>SUMIF(DEP!B:B,B22,DEP!O:O)</f>
        <v>41877.016109110831</v>
      </c>
      <c r="H22" s="1114">
        <f t="shared" si="1"/>
        <v>14762.396051990123</v>
      </c>
      <c r="I22" s="11">
        <f>SUMIF(LAC!B:B,B22,LAC!D:D)</f>
        <v>0</v>
      </c>
      <c r="J22" s="1114">
        <f t="shared" si="2"/>
        <v>0</v>
      </c>
      <c r="K22" s="11">
        <f>SUMIF(LCHI!B:B,B22,LCHI!D:D)</f>
        <v>0</v>
      </c>
      <c r="L22" s="1114">
        <f t="shared" si="3"/>
        <v>0</v>
      </c>
      <c r="M22" s="11">
        <f>SUMIF(EAL!B:B,B22,EAL!G:G)</f>
        <v>21033.547834090939</v>
      </c>
      <c r="N22" s="1114">
        <f t="shared" si="4"/>
        <v>8424.8838684058337</v>
      </c>
      <c r="O22" s="11">
        <f>SUMIF(MOB!B:B,B22,MOB!G:G)</f>
        <v>0</v>
      </c>
      <c r="P22" s="1114">
        <f t="shared" si="5"/>
        <v>0</v>
      </c>
      <c r="Q22" s="1114">
        <f t="shared" si="6"/>
        <v>86281.282050340524</v>
      </c>
      <c r="R22" s="11">
        <v>86281.282050340538</v>
      </c>
      <c r="S22" s="11" t="s">
        <v>1133</v>
      </c>
      <c r="T22" s="11">
        <v>208</v>
      </c>
      <c r="U22" s="11">
        <v>0</v>
      </c>
      <c r="V22" s="11">
        <v>0</v>
      </c>
      <c r="W22" s="1114">
        <f t="shared" si="7"/>
        <v>60937.821114492406</v>
      </c>
      <c r="X22" s="11">
        <v>43302.137080411623</v>
      </c>
      <c r="Y22" s="1114">
        <f t="shared" si="8"/>
        <v>15264.776645333353</v>
      </c>
      <c r="Z22" s="11">
        <v>0</v>
      </c>
      <c r="AA22" s="1114">
        <f t="shared" si="9"/>
        <v>0</v>
      </c>
      <c r="AB22" s="11">
        <v>0</v>
      </c>
      <c r="AC22" s="1114">
        <f t="shared" si="10"/>
        <v>0</v>
      </c>
      <c r="AD22" s="11">
        <v>20881.816974301684</v>
      </c>
      <c r="AE22" s="1114">
        <f t="shared" si="11"/>
        <v>8364.1088207029461</v>
      </c>
      <c r="AF22" s="11">
        <v>0</v>
      </c>
      <c r="AG22" s="1114">
        <f t="shared" si="12"/>
        <v>0</v>
      </c>
      <c r="AH22" s="1114">
        <f t="shared" si="13"/>
        <v>84566.706580528698</v>
      </c>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row>
    <row r="23" spans="1:92" x14ac:dyDescent="0.2">
      <c r="A23" s="9" t="s">
        <v>24</v>
      </c>
      <c r="B23" s="10">
        <v>2456</v>
      </c>
      <c r="C23" s="11">
        <f>SUMIF(AWPU!B:B,B23,AWPU!J:J)</f>
        <v>179</v>
      </c>
      <c r="D23" s="11">
        <f>SUMIF(AWPU!B:B,B23,AWPU!K:K)</f>
        <v>0</v>
      </c>
      <c r="E23" s="11">
        <f>SUMIF(AWPU!B:B,B23,AWPU!L:L)</f>
        <v>0</v>
      </c>
      <c r="F23" s="1114">
        <f t="shared" si="0"/>
        <v>54824.399909029504</v>
      </c>
      <c r="G23" s="11">
        <f>SUMIF(DEP!B:B,B23,DEP!O:O)</f>
        <v>22668.211106748582</v>
      </c>
      <c r="H23" s="1114">
        <f t="shared" si="1"/>
        <v>7990.9492423253078</v>
      </c>
      <c r="I23" s="11">
        <f>SUMIF(LAC!B:B,B23,LAC!D:D)</f>
        <v>0</v>
      </c>
      <c r="J23" s="1114">
        <f t="shared" si="2"/>
        <v>0</v>
      </c>
      <c r="K23" s="11">
        <f>SUMIF(LCHI!B:B,B23,LCHI!D:D)</f>
        <v>0</v>
      </c>
      <c r="L23" s="1114">
        <f t="shared" si="3"/>
        <v>0</v>
      </c>
      <c r="M23" s="11">
        <f>SUMIF(EAL!B:B,B23,EAL!G:G)</f>
        <v>31911.739624999947</v>
      </c>
      <c r="N23" s="1114">
        <f t="shared" si="4"/>
        <v>12782.089949831279</v>
      </c>
      <c r="O23" s="11">
        <f>SUMIF(MOB!B:B,B23,MOB!G:G)</f>
        <v>0</v>
      </c>
      <c r="P23" s="1114">
        <f t="shared" si="5"/>
        <v>0</v>
      </c>
      <c r="Q23" s="1114">
        <f t="shared" si="6"/>
        <v>75597.439101186086</v>
      </c>
      <c r="R23" s="11">
        <v>75597.439101186086</v>
      </c>
      <c r="S23" s="11" t="s">
        <v>1134</v>
      </c>
      <c r="T23" s="11">
        <v>178</v>
      </c>
      <c r="U23" s="11">
        <v>0</v>
      </c>
      <c r="V23" s="11">
        <v>0</v>
      </c>
      <c r="W23" s="1114">
        <f t="shared" si="7"/>
        <v>52148.712299902152</v>
      </c>
      <c r="X23" s="11">
        <v>19136.909022791246</v>
      </c>
      <c r="Y23" s="1114">
        <f t="shared" si="8"/>
        <v>6746.1021928896471</v>
      </c>
      <c r="Z23" s="11">
        <v>1360.8619920903955</v>
      </c>
      <c r="AA23" s="1114">
        <f t="shared" si="9"/>
        <v>1360.8619920903955</v>
      </c>
      <c r="AB23" s="11">
        <v>0</v>
      </c>
      <c r="AC23" s="1114">
        <f t="shared" si="10"/>
        <v>0</v>
      </c>
      <c r="AD23" s="11">
        <v>28398.758989830552</v>
      </c>
      <c r="AE23" s="1114">
        <f t="shared" si="11"/>
        <v>11374.982878940884</v>
      </c>
      <c r="AF23" s="11">
        <v>0</v>
      </c>
      <c r="AG23" s="1114">
        <f t="shared" si="12"/>
        <v>0</v>
      </c>
      <c r="AH23" s="1114">
        <f t="shared" si="13"/>
        <v>71630.65936382307</v>
      </c>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row>
    <row r="24" spans="1:92" x14ac:dyDescent="0.2">
      <c r="A24" s="9" t="s">
        <v>25</v>
      </c>
      <c r="B24" s="10">
        <v>2449</v>
      </c>
      <c r="C24" s="11">
        <f>SUMIF(AWPU!B:B,B24,AWPU!J:J)</f>
        <v>270</v>
      </c>
      <c r="D24" s="11">
        <f>SUMIF(AWPU!B:B,B24,AWPU!K:K)</f>
        <v>0</v>
      </c>
      <c r="E24" s="11">
        <f>SUMIF(AWPU!B:B,B24,AWPU!L:L)</f>
        <v>0</v>
      </c>
      <c r="F24" s="1114">
        <f t="shared" si="0"/>
        <v>82696.022209150644</v>
      </c>
      <c r="G24" s="11">
        <f>SUMIF(DEP!B:B,B24,DEP!O:O)</f>
        <v>111576.51203750633</v>
      </c>
      <c r="H24" s="1114">
        <f t="shared" si="1"/>
        <v>39332.713116562241</v>
      </c>
      <c r="I24" s="11">
        <f>SUMIF(LAC!B:B,B24,LAC!D:D)</f>
        <v>0</v>
      </c>
      <c r="J24" s="1114">
        <f t="shared" si="2"/>
        <v>0</v>
      </c>
      <c r="K24" s="11">
        <f>SUMIF(LCHI!B:B,B24,LCHI!D:D)</f>
        <v>0</v>
      </c>
      <c r="L24" s="1114">
        <f t="shared" si="3"/>
        <v>0</v>
      </c>
      <c r="M24" s="11">
        <f>SUMIF(EAL!B:B,B24,EAL!G:G)</f>
        <v>7701.6041999999925</v>
      </c>
      <c r="N24" s="1114">
        <f t="shared" si="4"/>
        <v>3084.8395856576071</v>
      </c>
      <c r="O24" s="11">
        <f>SUMIF(MOB!B:B,B24,MOB!G:G)</f>
        <v>0</v>
      </c>
      <c r="P24" s="1114">
        <f t="shared" si="5"/>
        <v>0</v>
      </c>
      <c r="Q24" s="1114">
        <f t="shared" si="6"/>
        <v>125113.5749113705</v>
      </c>
      <c r="R24" s="11">
        <v>125113.57491137051</v>
      </c>
      <c r="S24" s="11" t="s">
        <v>1135</v>
      </c>
      <c r="T24" s="11">
        <v>268</v>
      </c>
      <c r="U24" s="11">
        <v>0</v>
      </c>
      <c r="V24" s="11">
        <v>0</v>
      </c>
      <c r="W24" s="1114">
        <f t="shared" si="7"/>
        <v>78516.038743672907</v>
      </c>
      <c r="X24" s="11">
        <v>121491.33610126089</v>
      </c>
      <c r="Y24" s="1114">
        <f t="shared" si="8"/>
        <v>42827.865665960409</v>
      </c>
      <c r="Z24" s="11">
        <v>0</v>
      </c>
      <c r="AA24" s="1114">
        <f t="shared" si="9"/>
        <v>0</v>
      </c>
      <c r="AB24" s="11">
        <v>0</v>
      </c>
      <c r="AC24" s="1114">
        <f t="shared" si="10"/>
        <v>0</v>
      </c>
      <c r="AD24" s="11">
        <v>5153.6327730337189</v>
      </c>
      <c r="AE24" s="1114">
        <f t="shared" si="11"/>
        <v>2064.2621946472941</v>
      </c>
      <c r="AF24" s="11">
        <v>0</v>
      </c>
      <c r="AG24" s="1114">
        <f t="shared" si="12"/>
        <v>0</v>
      </c>
      <c r="AH24" s="1114">
        <f t="shared" si="13"/>
        <v>123408.16660428062</v>
      </c>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row>
    <row r="25" spans="1:92" x14ac:dyDescent="0.2">
      <c r="A25" s="9" t="s">
        <v>26</v>
      </c>
      <c r="B25" s="10">
        <v>2448</v>
      </c>
      <c r="C25" s="11">
        <f>SUMIF(AWPU!B:B,B25,AWPU!J:J)</f>
        <v>334</v>
      </c>
      <c r="D25" s="11">
        <f>SUMIF(AWPU!B:B,B25,AWPU!K:K)</f>
        <v>0</v>
      </c>
      <c r="E25" s="11">
        <f>SUMIF(AWPU!B:B,B25,AWPU!L:L)</f>
        <v>0</v>
      </c>
      <c r="F25" s="1114">
        <f t="shared" si="0"/>
        <v>102298.04228835672</v>
      </c>
      <c r="G25" s="11">
        <f>SUMIF(DEP!B:B,B25,DEP!O:O)</f>
        <v>181067.27535214834</v>
      </c>
      <c r="H25" s="1114">
        <f t="shared" si="1"/>
        <v>63829.448207070891</v>
      </c>
      <c r="I25" s="11">
        <f>SUMIF(LAC!B:B,B25,LAC!D:D)</f>
        <v>0</v>
      </c>
      <c r="J25" s="1114">
        <f t="shared" si="2"/>
        <v>0</v>
      </c>
      <c r="K25" s="11">
        <f>SUMIF(LCHI!B:B,B25,LCHI!D:D)</f>
        <v>0</v>
      </c>
      <c r="L25" s="1114">
        <f t="shared" si="3"/>
        <v>0</v>
      </c>
      <c r="M25" s="11">
        <f>SUMIF(EAL!B:B,B25,EAL!G:G)</f>
        <v>2590.4690864048339</v>
      </c>
      <c r="N25" s="1114">
        <f t="shared" si="4"/>
        <v>1037.5996189422374</v>
      </c>
      <c r="O25" s="11">
        <f>SUMIF(MOB!B:B,B25,MOB!G:G)</f>
        <v>0</v>
      </c>
      <c r="P25" s="1114">
        <f t="shared" si="5"/>
        <v>0</v>
      </c>
      <c r="Q25" s="1114">
        <f t="shared" si="6"/>
        <v>167165.09011436984</v>
      </c>
      <c r="R25" s="11">
        <v>167165.0901143699</v>
      </c>
      <c r="S25" s="11" t="s">
        <v>1136</v>
      </c>
      <c r="T25" s="11">
        <v>311</v>
      </c>
      <c r="U25" s="11">
        <v>0</v>
      </c>
      <c r="V25" s="11">
        <v>0</v>
      </c>
      <c r="W25" s="1114">
        <f t="shared" si="7"/>
        <v>91113.761377918927</v>
      </c>
      <c r="X25" s="11">
        <v>165501.39554376242</v>
      </c>
      <c r="Y25" s="1114">
        <f t="shared" si="8"/>
        <v>58342.197586578957</v>
      </c>
      <c r="Z25" s="11">
        <v>0</v>
      </c>
      <c r="AA25" s="1114">
        <f t="shared" si="9"/>
        <v>0</v>
      </c>
      <c r="AB25" s="11">
        <v>0</v>
      </c>
      <c r="AC25" s="1114">
        <f t="shared" si="10"/>
        <v>0</v>
      </c>
      <c r="AD25" s="11">
        <v>6009.4596212903161</v>
      </c>
      <c r="AE25" s="1114">
        <f t="shared" si="11"/>
        <v>2407.0594186296094</v>
      </c>
      <c r="AF25" s="11">
        <v>0</v>
      </c>
      <c r="AG25" s="1114">
        <f t="shared" si="12"/>
        <v>0</v>
      </c>
      <c r="AH25" s="1114">
        <f t="shared" si="13"/>
        <v>151863.01838312749</v>
      </c>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row>
    <row r="26" spans="1:92" x14ac:dyDescent="0.2">
      <c r="A26" s="9" t="s">
        <v>97</v>
      </c>
      <c r="B26" s="10">
        <v>2467</v>
      </c>
      <c r="C26" s="11">
        <f>SUMIF(AWPU!B:B,B26,AWPU!J:J)</f>
        <v>349</v>
      </c>
      <c r="D26" s="11">
        <f>SUMIF(AWPU!B:B,B26,AWPU!K:K)</f>
        <v>0</v>
      </c>
      <c r="E26" s="11">
        <f>SUMIF(AWPU!B:B,B26,AWPU!L:L)</f>
        <v>0</v>
      </c>
      <c r="F26" s="1114">
        <f t="shared" si="0"/>
        <v>106892.26574442064</v>
      </c>
      <c r="G26" s="11">
        <f>SUMIF(DEP!B:B,B26,DEP!O:O)</f>
        <v>168762.83605330973</v>
      </c>
      <c r="H26" s="1114">
        <f t="shared" si="1"/>
        <v>59491.913611629439</v>
      </c>
      <c r="I26" s="11">
        <f>SUMIF(LAC!B:B,B26,LAC!D:D)</f>
        <v>0</v>
      </c>
      <c r="J26" s="1114">
        <f t="shared" si="2"/>
        <v>0</v>
      </c>
      <c r="K26" s="11">
        <f>SUMIF(LCHI!B:B,B26,LCHI!D:D)</f>
        <v>0</v>
      </c>
      <c r="L26" s="1114">
        <f t="shared" si="3"/>
        <v>0</v>
      </c>
      <c r="M26" s="11">
        <f>SUMIF(EAL!B:B,B26,EAL!G:G)</f>
        <v>5799.0504116504735</v>
      </c>
      <c r="N26" s="1114">
        <f t="shared" si="4"/>
        <v>2322.7810472373326</v>
      </c>
      <c r="O26" s="11">
        <f>SUMIF(MOB!B:B,B26,MOB!G:G)</f>
        <v>0</v>
      </c>
      <c r="P26" s="1114">
        <f t="shared" si="5"/>
        <v>0</v>
      </c>
      <c r="Q26" s="1114">
        <f t="shared" si="6"/>
        <v>168706.9604032874</v>
      </c>
      <c r="R26" s="11">
        <v>168706.96040328743</v>
      </c>
      <c r="S26" s="11" t="s">
        <v>1137</v>
      </c>
      <c r="T26" s="11">
        <v>362</v>
      </c>
      <c r="U26" s="11">
        <v>0</v>
      </c>
      <c r="V26" s="11">
        <v>0</v>
      </c>
      <c r="W26" s="1114">
        <f t="shared" si="7"/>
        <v>106055.24636272236</v>
      </c>
      <c r="X26" s="11">
        <v>170808.45263230253</v>
      </c>
      <c r="Y26" s="1114">
        <f t="shared" si="8"/>
        <v>60213.029987995113</v>
      </c>
      <c r="Z26" s="11">
        <v>0</v>
      </c>
      <c r="AA26" s="1114">
        <f t="shared" si="9"/>
        <v>0</v>
      </c>
      <c r="AB26" s="11">
        <v>0</v>
      </c>
      <c r="AC26" s="1114">
        <f t="shared" si="10"/>
        <v>0</v>
      </c>
      <c r="AD26" s="11">
        <v>6054.2469498371402</v>
      </c>
      <c r="AE26" s="1114">
        <f t="shared" si="11"/>
        <v>2424.9987622324779</v>
      </c>
      <c r="AF26" s="11">
        <v>0</v>
      </c>
      <c r="AG26" s="1114">
        <f t="shared" si="12"/>
        <v>0</v>
      </c>
      <c r="AH26" s="1114">
        <f t="shared" si="13"/>
        <v>168693.27511294995</v>
      </c>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row>
    <row r="27" spans="1:92" x14ac:dyDescent="0.2">
      <c r="A27" s="9" t="s">
        <v>28</v>
      </c>
      <c r="B27" s="10">
        <v>2455</v>
      </c>
      <c r="C27" s="11">
        <f>SUMIF(AWPU!B:B,B27,AWPU!J:J)</f>
        <v>351</v>
      </c>
      <c r="D27" s="11">
        <f>SUMIF(AWPU!B:B,B27,AWPU!K:K)</f>
        <v>0</v>
      </c>
      <c r="E27" s="11">
        <f>SUMIF(AWPU!B:B,B27,AWPU!L:L)</f>
        <v>0</v>
      </c>
      <c r="F27" s="1114">
        <f t="shared" si="0"/>
        <v>107504.82887189584</v>
      </c>
      <c r="G27" s="11">
        <f>SUMIF(DEP!B:B,B27,DEP!O:O)</f>
        <v>74577.835326767105</v>
      </c>
      <c r="H27" s="1114">
        <f t="shared" si="1"/>
        <v>26290.018823817591</v>
      </c>
      <c r="I27" s="11">
        <f>SUMIF(LAC!B:B,B27,LAC!D:D)</f>
        <v>1326.7571555865923</v>
      </c>
      <c r="J27" s="1114">
        <f t="shared" si="2"/>
        <v>1326.7571555865923</v>
      </c>
      <c r="K27" s="11">
        <f>SUMIF(LCHI!B:B,B27,LCHI!D:D)</f>
        <v>0</v>
      </c>
      <c r="L27" s="1114">
        <f t="shared" si="3"/>
        <v>0</v>
      </c>
      <c r="M27" s="11">
        <f>SUMIF(EAL!B:B,B27,EAL!G:G)</f>
        <v>14119.607699999997</v>
      </c>
      <c r="N27" s="1114">
        <f t="shared" si="4"/>
        <v>5655.5392403722835</v>
      </c>
      <c r="O27" s="11">
        <f>SUMIF(MOB!B:B,B27,MOB!G:G)</f>
        <v>0</v>
      </c>
      <c r="P27" s="1114">
        <f t="shared" si="5"/>
        <v>0</v>
      </c>
      <c r="Q27" s="1114">
        <f t="shared" si="6"/>
        <v>140777.14409167229</v>
      </c>
      <c r="R27" s="11">
        <v>140777.14409167229</v>
      </c>
      <c r="S27" s="11" t="s">
        <v>1138</v>
      </c>
      <c r="T27" s="11">
        <v>355</v>
      </c>
      <c r="U27" s="11">
        <v>0</v>
      </c>
      <c r="V27" s="11">
        <v>0</v>
      </c>
      <c r="W27" s="1114">
        <f t="shared" si="7"/>
        <v>104004.45430598463</v>
      </c>
      <c r="X27" s="11">
        <v>69584.029163722123</v>
      </c>
      <c r="Y27" s="1114">
        <f t="shared" si="8"/>
        <v>24529.612967926143</v>
      </c>
      <c r="Z27" s="11">
        <v>2676.2781532033428</v>
      </c>
      <c r="AA27" s="1114">
        <f t="shared" si="9"/>
        <v>2676.2781532033428</v>
      </c>
      <c r="AB27" s="11">
        <v>0</v>
      </c>
      <c r="AC27" s="1114">
        <f t="shared" si="10"/>
        <v>0</v>
      </c>
      <c r="AD27" s="11">
        <v>15189.274949999999</v>
      </c>
      <c r="AE27" s="1114">
        <f t="shared" si="11"/>
        <v>6083.989182824731</v>
      </c>
      <c r="AF27" s="11">
        <v>0</v>
      </c>
      <c r="AG27" s="1114">
        <f t="shared" si="12"/>
        <v>0</v>
      </c>
      <c r="AH27" s="1114">
        <f t="shared" si="13"/>
        <v>137294.33460993884</v>
      </c>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row>
    <row r="28" spans="1:92" x14ac:dyDescent="0.2">
      <c r="A28" s="9" t="s">
        <v>29</v>
      </c>
      <c r="B28" s="10">
        <v>5203</v>
      </c>
      <c r="C28" s="11">
        <f>SUMIF(AWPU!B:B,B28,AWPU!J:J)</f>
        <v>485</v>
      </c>
      <c r="D28" s="11">
        <f>SUMIF(AWPU!B:B,B28,AWPU!K:K)</f>
        <v>0</v>
      </c>
      <c r="E28" s="11">
        <f>SUMIF(AWPU!B:B,B28,AWPU!L:L)</f>
        <v>0</v>
      </c>
      <c r="F28" s="1114">
        <f t="shared" si="0"/>
        <v>148546.55841273358</v>
      </c>
      <c r="G28" s="11">
        <f>SUMIF(DEP!B:B,B28,DEP!O:O)</f>
        <v>130520.16364530743</v>
      </c>
      <c r="H28" s="1114">
        <f t="shared" si="1"/>
        <v>46010.688619321074</v>
      </c>
      <c r="I28" s="11">
        <f>SUMIF(LAC!B:B,B28,LAC!D:D)</f>
        <v>2728.9401226611226</v>
      </c>
      <c r="J28" s="1114">
        <f t="shared" si="2"/>
        <v>2728.9401226611226</v>
      </c>
      <c r="K28" s="11">
        <f>SUMIF(LCHI!B:B,B28,LCHI!D:D)</f>
        <v>0</v>
      </c>
      <c r="L28" s="1114">
        <f t="shared" si="3"/>
        <v>0</v>
      </c>
      <c r="M28" s="11">
        <f>SUMIF(EAL!B:B,B28,EAL!G:G)</f>
        <v>9452.0493229813637</v>
      </c>
      <c r="N28" s="1114">
        <f t="shared" si="4"/>
        <v>3785.9717482133296</v>
      </c>
      <c r="O28" s="11">
        <f>SUMIF(MOB!B:B,B28,MOB!G:G)</f>
        <v>0</v>
      </c>
      <c r="P28" s="1114">
        <f t="shared" si="5"/>
        <v>0</v>
      </c>
      <c r="Q28" s="1114">
        <f t="shared" si="6"/>
        <v>201072.15890292911</v>
      </c>
      <c r="R28" s="11">
        <v>201072.15890292911</v>
      </c>
      <c r="S28" s="11" t="s">
        <v>1139</v>
      </c>
      <c r="T28" s="11">
        <v>480</v>
      </c>
      <c r="U28" s="11">
        <v>0</v>
      </c>
      <c r="V28" s="11">
        <v>0</v>
      </c>
      <c r="W28" s="1114">
        <f t="shared" si="7"/>
        <v>140625.74103344401</v>
      </c>
      <c r="X28" s="11">
        <v>126820.54155920394</v>
      </c>
      <c r="Y28" s="1114">
        <f t="shared" si="8"/>
        <v>44706.505763134541</v>
      </c>
      <c r="Z28" s="11">
        <v>1350.4033596673596</v>
      </c>
      <c r="AA28" s="1114">
        <f t="shared" si="9"/>
        <v>1350.4033596673596</v>
      </c>
      <c r="AB28" s="11">
        <v>0</v>
      </c>
      <c r="AC28" s="1114">
        <f t="shared" si="10"/>
        <v>0</v>
      </c>
      <c r="AD28" s="11">
        <v>2610.7132881355928</v>
      </c>
      <c r="AE28" s="1114">
        <f t="shared" si="11"/>
        <v>1045.7083341212235</v>
      </c>
      <c r="AF28" s="11">
        <v>0</v>
      </c>
      <c r="AG28" s="1114">
        <f t="shared" si="12"/>
        <v>0</v>
      </c>
      <c r="AH28" s="1114">
        <f t="shared" si="13"/>
        <v>187728.35849036713</v>
      </c>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row>
    <row r="29" spans="1:92" x14ac:dyDescent="0.2">
      <c r="A29" s="9" t="s">
        <v>30</v>
      </c>
      <c r="B29" s="10">
        <v>2451</v>
      </c>
      <c r="C29" s="11">
        <f>SUMIF(AWPU!B:B,B29,AWPU!J:J)</f>
        <v>472</v>
      </c>
      <c r="D29" s="11">
        <f>SUMIF(AWPU!B:B,B29,AWPU!K:K)</f>
        <v>0</v>
      </c>
      <c r="E29" s="11">
        <f>SUMIF(AWPU!B:B,B29,AWPU!L:L)</f>
        <v>0</v>
      </c>
      <c r="F29" s="1114">
        <f t="shared" si="0"/>
        <v>144564.89808414484</v>
      </c>
      <c r="G29" s="11">
        <f>SUMIF(DEP!B:B,B29,DEP!O:O)</f>
        <v>155958.95554850169</v>
      </c>
      <c r="H29" s="1114">
        <f t="shared" si="1"/>
        <v>54978.317071659891</v>
      </c>
      <c r="I29" s="11">
        <f>SUMIF(LAC!B:B,B29,LAC!D:D)</f>
        <v>1361.8726703624734</v>
      </c>
      <c r="J29" s="1114">
        <f t="shared" si="2"/>
        <v>1361.8726703624734</v>
      </c>
      <c r="K29" s="11">
        <f>SUMIF(LCHI!B:B,B29,LCHI!D:D)</f>
        <v>0</v>
      </c>
      <c r="L29" s="1114">
        <f t="shared" si="3"/>
        <v>0</v>
      </c>
      <c r="M29" s="11">
        <f>SUMIF(EAL!B:B,B29,EAL!G:G)</f>
        <v>6119.7932363636555</v>
      </c>
      <c r="N29" s="1114">
        <f t="shared" si="4"/>
        <v>2451.2530040915767</v>
      </c>
      <c r="O29" s="11">
        <f>SUMIF(MOB!B:B,B29,MOB!G:G)</f>
        <v>0</v>
      </c>
      <c r="P29" s="1114">
        <f t="shared" si="5"/>
        <v>0</v>
      </c>
      <c r="Q29" s="1114">
        <f t="shared" si="6"/>
        <v>203356.34083025879</v>
      </c>
      <c r="R29" s="11">
        <v>203356.34083025879</v>
      </c>
      <c r="S29" s="11" t="s">
        <v>1141</v>
      </c>
      <c r="T29" s="11">
        <v>473</v>
      </c>
      <c r="U29" s="11">
        <v>0</v>
      </c>
      <c r="V29" s="11">
        <v>0</v>
      </c>
      <c r="W29" s="1114">
        <f t="shared" si="7"/>
        <v>138574.94897670628</v>
      </c>
      <c r="X29" s="11">
        <v>161771.0790795983</v>
      </c>
      <c r="Y29" s="1114">
        <f t="shared" si="8"/>
        <v>57027.194413961093</v>
      </c>
      <c r="Z29" s="11">
        <v>0</v>
      </c>
      <c r="AA29" s="1114">
        <f t="shared" si="9"/>
        <v>0</v>
      </c>
      <c r="AB29" s="11">
        <v>0</v>
      </c>
      <c r="AC29" s="1114">
        <f t="shared" si="10"/>
        <v>0</v>
      </c>
      <c r="AD29" s="11">
        <v>4216.2717437500141</v>
      </c>
      <c r="AE29" s="1114">
        <f t="shared" si="11"/>
        <v>1688.8068565000631</v>
      </c>
      <c r="AF29" s="11">
        <v>0</v>
      </c>
      <c r="AG29" s="1114">
        <f t="shared" si="12"/>
        <v>0</v>
      </c>
      <c r="AH29" s="1114">
        <f t="shared" si="13"/>
        <v>197290.95024716744</v>
      </c>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row>
    <row r="30" spans="1:92" x14ac:dyDescent="0.2">
      <c r="A30" s="9" t="s">
        <v>31</v>
      </c>
      <c r="B30" s="10">
        <v>2409</v>
      </c>
      <c r="C30" s="11">
        <f>SUMIF(AWPU!B:B,B30,AWPU!J:J)</f>
        <v>552</v>
      </c>
      <c r="D30" s="11">
        <f>SUMIF(AWPU!B:B,B30,AWPU!K:K)</f>
        <v>0</v>
      </c>
      <c r="E30" s="11">
        <f>SUMIF(AWPU!B:B,B30,AWPU!L:L)</f>
        <v>0</v>
      </c>
      <c r="F30" s="1114">
        <f t="shared" si="0"/>
        <v>169067.42318315242</v>
      </c>
      <c r="G30" s="11">
        <f>SUMIF(DEP!B:B,B30,DEP!O:O)</f>
        <v>315355.06563694391</v>
      </c>
      <c r="H30" s="1114">
        <f t="shared" si="1"/>
        <v>111168.29250212674</v>
      </c>
      <c r="I30" s="11">
        <f>SUMIF(LAC!B:B,B30,LAC!D:D)</f>
        <v>0</v>
      </c>
      <c r="J30" s="1114">
        <f t="shared" si="2"/>
        <v>0</v>
      </c>
      <c r="K30" s="11">
        <f>SUMIF(LCHI!B:B,B30,LCHI!D:D)</f>
        <v>0</v>
      </c>
      <c r="L30" s="1114">
        <f t="shared" si="3"/>
        <v>0</v>
      </c>
      <c r="M30" s="11">
        <f>SUMIF(EAL!B:B,B30,EAL!G:G)</f>
        <v>161441.22221772143</v>
      </c>
      <c r="N30" s="1114">
        <f t="shared" si="4"/>
        <v>64664.485491759486</v>
      </c>
      <c r="O30" s="11">
        <f>SUMIF(MOB!B:B,B30,MOB!G:G)</f>
        <v>2159.4239999997394</v>
      </c>
      <c r="P30" s="1114">
        <f t="shared" si="5"/>
        <v>2159.4239999997394</v>
      </c>
      <c r="Q30" s="1114">
        <f t="shared" si="6"/>
        <v>347059.62517703837</v>
      </c>
      <c r="R30" s="11">
        <v>347059.62517703843</v>
      </c>
      <c r="S30" s="11" t="s">
        <v>1142</v>
      </c>
      <c r="T30" s="11">
        <v>551</v>
      </c>
      <c r="U30" s="11">
        <v>0</v>
      </c>
      <c r="V30" s="11">
        <v>0</v>
      </c>
      <c r="W30" s="1114">
        <f t="shared" si="7"/>
        <v>161426.63189464094</v>
      </c>
      <c r="X30" s="11">
        <v>307093.3526570613</v>
      </c>
      <c r="Y30" s="1114">
        <f t="shared" si="8"/>
        <v>108255.89113238445</v>
      </c>
      <c r="Z30" s="11">
        <v>2639.3713334513272</v>
      </c>
      <c r="AA30" s="1114">
        <f t="shared" si="9"/>
        <v>2639.3713334513272</v>
      </c>
      <c r="AB30" s="11">
        <v>0</v>
      </c>
      <c r="AC30" s="1114">
        <f t="shared" si="10"/>
        <v>0</v>
      </c>
      <c r="AD30" s="11">
        <v>170461.08746257925</v>
      </c>
      <c r="AE30" s="1114">
        <f t="shared" si="11"/>
        <v>68277.348038582481</v>
      </c>
      <c r="AF30" s="11">
        <v>0</v>
      </c>
      <c r="AG30" s="1114">
        <f t="shared" si="12"/>
        <v>0</v>
      </c>
      <c r="AH30" s="1114">
        <f t="shared" si="13"/>
        <v>340599.24239905924</v>
      </c>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row>
    <row r="31" spans="1:92" x14ac:dyDescent="0.2">
      <c r="A31" s="9" t="s">
        <v>98</v>
      </c>
      <c r="B31" s="10">
        <v>3158</v>
      </c>
      <c r="C31" s="11">
        <f>SUMIF(AWPU!B:B,B31,AWPU!J:J)</f>
        <v>120</v>
      </c>
      <c r="D31" s="11">
        <f>SUMIF(AWPU!B:B,B31,AWPU!K:K)</f>
        <v>0</v>
      </c>
      <c r="E31" s="11">
        <f>SUMIF(AWPU!B:B,B31,AWPU!L:L)</f>
        <v>0</v>
      </c>
      <c r="F31" s="1114">
        <f t="shared" si="0"/>
        <v>36753.787648511396</v>
      </c>
      <c r="G31" s="11">
        <f>SUMIF(DEP!B:B,B31,DEP!O:O)</f>
        <v>69939.948557660158</v>
      </c>
      <c r="H31" s="1114">
        <f t="shared" si="1"/>
        <v>24655.080910584897</v>
      </c>
      <c r="I31" s="11">
        <f>SUMIF(LAC!B:B,B31,LAC!D:D)</f>
        <v>0</v>
      </c>
      <c r="J31" s="1114">
        <f t="shared" si="2"/>
        <v>0</v>
      </c>
      <c r="K31" s="11">
        <f>SUMIF(LCHI!B:B,B31,LCHI!D:D)</f>
        <v>0</v>
      </c>
      <c r="L31" s="1114">
        <f t="shared" si="3"/>
        <v>0</v>
      </c>
      <c r="M31" s="11">
        <f>SUMIF(EAL!B:B,B31,EAL!G:G)</f>
        <v>93702.8511</v>
      </c>
      <c r="N31" s="1114">
        <f t="shared" si="4"/>
        <v>37532.214958834258</v>
      </c>
      <c r="O31" s="11">
        <f>SUMIF(MOB!B:B,B31,MOB!G:G)</f>
        <v>0</v>
      </c>
      <c r="P31" s="1114">
        <f t="shared" si="5"/>
        <v>0</v>
      </c>
      <c r="Q31" s="1114">
        <f t="shared" si="6"/>
        <v>98941.083517930558</v>
      </c>
      <c r="R31" s="11">
        <v>98941.083517930558</v>
      </c>
      <c r="S31" s="11" t="s">
        <v>1143</v>
      </c>
      <c r="T31" s="11">
        <v>117</v>
      </c>
      <c r="U31" s="11">
        <v>0</v>
      </c>
      <c r="V31" s="11">
        <v>0</v>
      </c>
      <c r="W31" s="1114">
        <f t="shared" si="7"/>
        <v>34277.52437690198</v>
      </c>
      <c r="X31" s="11">
        <v>62382.104788247598</v>
      </c>
      <c r="Y31" s="1114">
        <f t="shared" si="8"/>
        <v>21990.806007797339</v>
      </c>
      <c r="Z31" s="11">
        <v>0</v>
      </c>
      <c r="AA31" s="1114">
        <f t="shared" si="9"/>
        <v>0</v>
      </c>
      <c r="AB31" s="11">
        <v>0</v>
      </c>
      <c r="AC31" s="1114">
        <f t="shared" si="10"/>
        <v>0</v>
      </c>
      <c r="AD31" s="11">
        <v>84517.604532467521</v>
      </c>
      <c r="AE31" s="1114">
        <f t="shared" si="11"/>
        <v>33853.109738710133</v>
      </c>
      <c r="AF31" s="11">
        <v>0</v>
      </c>
      <c r="AG31" s="1114">
        <f t="shared" si="12"/>
        <v>0</v>
      </c>
      <c r="AH31" s="1114">
        <f t="shared" si="13"/>
        <v>90121.44012340944</v>
      </c>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row>
    <row r="32" spans="1:92" x14ac:dyDescent="0.2">
      <c r="A32" s="9" t="s">
        <v>32</v>
      </c>
      <c r="B32" s="10">
        <v>2619</v>
      </c>
      <c r="C32" s="11">
        <f>SUMIF(AWPU!B:B,B32,AWPU!J:J)</f>
        <v>204</v>
      </c>
      <c r="D32" s="11">
        <f>SUMIF(AWPU!B:B,B32,AWPU!K:K)</f>
        <v>0</v>
      </c>
      <c r="E32" s="11">
        <f>SUMIF(AWPU!B:B,B32,AWPU!L:L)</f>
        <v>0</v>
      </c>
      <c r="F32" s="1114">
        <f t="shared" si="0"/>
        <v>62481.439002469378</v>
      </c>
      <c r="G32" s="11">
        <f>SUMIF(DEP!B:B,B32,DEP!O:O)</f>
        <v>277337.15400364815</v>
      </c>
      <c r="H32" s="1114">
        <f t="shared" si="1"/>
        <v>97766.299696861635</v>
      </c>
      <c r="I32" s="11">
        <f>SUMIF(LAC!B:B,B32,LAC!D:D)</f>
        <v>1380.2810339999999</v>
      </c>
      <c r="J32" s="1114">
        <f t="shared" si="2"/>
        <v>1380.2810339999999</v>
      </c>
      <c r="K32" s="11">
        <f>SUMIF(LCHI!B:B,B32,LCHI!D:D)</f>
        <v>0</v>
      </c>
      <c r="L32" s="1114">
        <f t="shared" si="3"/>
        <v>0</v>
      </c>
      <c r="M32" s="11">
        <f>SUMIF(EAL!B:B,B32,EAL!G:G)</f>
        <v>12250.504926315783</v>
      </c>
      <c r="N32" s="1114">
        <f t="shared" si="4"/>
        <v>4906.8793409290611</v>
      </c>
      <c r="O32" s="11">
        <f>SUMIF(MOB!B:B,B32,MOB!G:G)</f>
        <v>0</v>
      </c>
      <c r="P32" s="1114">
        <f t="shared" si="5"/>
        <v>0</v>
      </c>
      <c r="Q32" s="1114">
        <f t="shared" si="6"/>
        <v>166534.89907426009</v>
      </c>
      <c r="R32" s="11">
        <v>166534.89907426009</v>
      </c>
      <c r="S32" s="11" t="s">
        <v>1144</v>
      </c>
      <c r="T32" s="11">
        <v>199</v>
      </c>
      <c r="U32" s="11">
        <v>0</v>
      </c>
      <c r="V32" s="11">
        <v>0</v>
      </c>
      <c r="W32" s="1114">
        <f t="shared" si="7"/>
        <v>58301.088470115326</v>
      </c>
      <c r="X32" s="11">
        <v>281026.16315154347</v>
      </c>
      <c r="Y32" s="1114">
        <f t="shared" si="8"/>
        <v>99066.741302795373</v>
      </c>
      <c r="Z32" s="11">
        <v>1479.6160620879123</v>
      </c>
      <c r="AA32" s="1114">
        <f t="shared" si="9"/>
        <v>1479.6160620879123</v>
      </c>
      <c r="AB32" s="11">
        <v>0</v>
      </c>
      <c r="AC32" s="1114">
        <f t="shared" si="10"/>
        <v>0</v>
      </c>
      <c r="AD32" s="11">
        <v>12020.543025882345</v>
      </c>
      <c r="AE32" s="1114">
        <f t="shared" si="11"/>
        <v>4814.7692356538355</v>
      </c>
      <c r="AF32" s="11">
        <v>0</v>
      </c>
      <c r="AG32" s="1114">
        <f t="shared" si="12"/>
        <v>0</v>
      </c>
      <c r="AH32" s="1114">
        <f t="shared" si="13"/>
        <v>163662.21507065246</v>
      </c>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row>
    <row r="33" spans="1:92" x14ac:dyDescent="0.2">
      <c r="A33" s="9" t="s">
        <v>33</v>
      </c>
      <c r="B33" s="10">
        <v>2518</v>
      </c>
      <c r="C33" s="11">
        <f>SUMIF(AWPU!B:B,B33,AWPU!J:J)</f>
        <v>340</v>
      </c>
      <c r="D33" s="11">
        <f>SUMIF(AWPU!B:B,B33,AWPU!K:K)</f>
        <v>0</v>
      </c>
      <c r="E33" s="11">
        <f>SUMIF(AWPU!B:B,B33,AWPU!L:L)</f>
        <v>0</v>
      </c>
      <c r="F33" s="1114">
        <f t="shared" si="0"/>
        <v>104135.73167078229</v>
      </c>
      <c r="G33" s="11">
        <f>SUMIF(DEP!B:B,B33,DEP!O:O)</f>
        <v>318739.53591785935</v>
      </c>
      <c r="H33" s="1114">
        <f t="shared" si="1"/>
        <v>112361.37871874937</v>
      </c>
      <c r="I33" s="11">
        <f>SUMIF(LAC!B:B,B33,LAC!D:D)</f>
        <v>0</v>
      </c>
      <c r="J33" s="1114">
        <f t="shared" si="2"/>
        <v>0</v>
      </c>
      <c r="K33" s="11">
        <f>SUMIF(LCHI!B:B,B33,LCHI!D:D)</f>
        <v>0</v>
      </c>
      <c r="L33" s="1114">
        <f t="shared" si="3"/>
        <v>0</v>
      </c>
      <c r="M33" s="11">
        <f>SUMIF(EAL!B:B,B33,EAL!G:G)</f>
        <v>140944.3905882354</v>
      </c>
      <c r="N33" s="1114">
        <f t="shared" si="4"/>
        <v>56454.580652557612</v>
      </c>
      <c r="O33" s="11">
        <f>SUMIF(MOB!B:B,B33,MOB!G:G)</f>
        <v>86376.960000000021</v>
      </c>
      <c r="P33" s="1114">
        <f t="shared" si="5"/>
        <v>86376.960000000021</v>
      </c>
      <c r="Q33" s="1114">
        <f t="shared" si="6"/>
        <v>359328.65104208933</v>
      </c>
      <c r="R33" s="11">
        <v>359328.65104208933</v>
      </c>
      <c r="S33" s="11" t="s">
        <v>1145</v>
      </c>
      <c r="T33" s="11">
        <v>297</v>
      </c>
      <c r="U33" s="11">
        <v>0</v>
      </c>
      <c r="V33" s="11">
        <v>0</v>
      </c>
      <c r="W33" s="1114">
        <f t="shared" si="7"/>
        <v>87012.177264443482</v>
      </c>
      <c r="X33" s="11">
        <v>271588.29627622291</v>
      </c>
      <c r="Y33" s="1114">
        <f t="shared" si="8"/>
        <v>95739.724680206346</v>
      </c>
      <c r="Z33" s="11">
        <v>2734.0500673469382</v>
      </c>
      <c r="AA33" s="1114">
        <f t="shared" si="9"/>
        <v>2734.0500673469382</v>
      </c>
      <c r="AB33" s="11">
        <v>0</v>
      </c>
      <c r="AC33" s="1114">
        <f t="shared" si="10"/>
        <v>0</v>
      </c>
      <c r="AD33" s="11">
        <v>105982.8043554656</v>
      </c>
      <c r="AE33" s="1114">
        <f t="shared" si="11"/>
        <v>42450.889682794405</v>
      </c>
      <c r="AF33" s="11">
        <v>67541.984000000157</v>
      </c>
      <c r="AG33" s="1114">
        <f t="shared" si="12"/>
        <v>67541.984000000157</v>
      </c>
      <c r="AH33" s="1114">
        <f t="shared" si="13"/>
        <v>295478.82569479133</v>
      </c>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row>
    <row r="34" spans="1:92" x14ac:dyDescent="0.2">
      <c r="A34" s="9" t="s">
        <v>34</v>
      </c>
      <c r="B34" s="10">
        <v>2457</v>
      </c>
      <c r="C34" s="11">
        <f>SUMIF(AWPU!B:B,B34,AWPU!J:J)</f>
        <v>362</v>
      </c>
      <c r="D34" s="11">
        <f>SUMIF(AWPU!B:B,B34,AWPU!K:K)</f>
        <v>0</v>
      </c>
      <c r="E34" s="11">
        <f>SUMIF(AWPU!B:B,B34,AWPU!L:L)</f>
        <v>0</v>
      </c>
      <c r="F34" s="1114">
        <f t="shared" si="0"/>
        <v>110873.92607300938</v>
      </c>
      <c r="G34" s="11">
        <f>SUMIF(DEP!B:B,B34,DEP!O:O)</f>
        <v>145426.3390237166</v>
      </c>
      <c r="H34" s="1114">
        <f t="shared" si="1"/>
        <v>51265.381646712427</v>
      </c>
      <c r="I34" s="11">
        <f>SUMIF(LAC!B:B,B34,LAC!D:D)</f>
        <v>4015.2823393442623</v>
      </c>
      <c r="J34" s="1114">
        <f t="shared" si="2"/>
        <v>4015.2823393442623</v>
      </c>
      <c r="K34" s="11">
        <f>SUMIF(LCHI!B:B,B34,LCHI!D:D)</f>
        <v>0</v>
      </c>
      <c r="L34" s="1114">
        <f t="shared" si="3"/>
        <v>0</v>
      </c>
      <c r="M34" s="11">
        <f>SUMIF(EAL!B:B,B34,EAL!G:G)</f>
        <v>24816.280200000016</v>
      </c>
      <c r="N34" s="1114">
        <f t="shared" si="4"/>
        <v>9940.0386648967506</v>
      </c>
      <c r="O34" s="11">
        <f>SUMIF(MOB!B:B,B34,MOB!G:G)</f>
        <v>0</v>
      </c>
      <c r="P34" s="1114">
        <f t="shared" si="5"/>
        <v>0</v>
      </c>
      <c r="Q34" s="1114">
        <f t="shared" si="6"/>
        <v>176094.62872396281</v>
      </c>
      <c r="R34" s="11">
        <v>176094.62872396281</v>
      </c>
      <c r="S34" s="11" t="s">
        <v>1146</v>
      </c>
      <c r="T34" s="11">
        <v>358</v>
      </c>
      <c r="U34" s="11">
        <v>0</v>
      </c>
      <c r="V34" s="11">
        <v>0</v>
      </c>
      <c r="W34" s="1114">
        <f t="shared" si="7"/>
        <v>104883.36518744366</v>
      </c>
      <c r="X34" s="11">
        <v>147991.49950529612</v>
      </c>
      <c r="Y34" s="1114">
        <f t="shared" si="8"/>
        <v>52169.646527173951</v>
      </c>
      <c r="Z34" s="11">
        <v>4140.6117829059831</v>
      </c>
      <c r="AA34" s="1114">
        <f t="shared" si="9"/>
        <v>4140.6117829059831</v>
      </c>
      <c r="AB34" s="11">
        <v>0</v>
      </c>
      <c r="AC34" s="1114">
        <f t="shared" si="10"/>
        <v>0</v>
      </c>
      <c r="AD34" s="11">
        <v>23104.812599999994</v>
      </c>
      <c r="AE34" s="1114">
        <f t="shared" si="11"/>
        <v>9254.5187569728278</v>
      </c>
      <c r="AF34" s="11">
        <v>0</v>
      </c>
      <c r="AG34" s="1114">
        <f t="shared" si="12"/>
        <v>0</v>
      </c>
      <c r="AH34" s="1114">
        <f t="shared" si="13"/>
        <v>170448.1422544964</v>
      </c>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row>
    <row r="35" spans="1:92" x14ac:dyDescent="0.2">
      <c r="A35" s="9" t="s">
        <v>99</v>
      </c>
      <c r="B35" s="10">
        <v>2010</v>
      </c>
      <c r="C35" s="11">
        <f>SUMIF(AWPU!B:B,B35,AWPU!J:J)</f>
        <v>204</v>
      </c>
      <c r="D35" s="11">
        <f>SUMIF(AWPU!B:B,B35,AWPU!K:K)</f>
        <v>0</v>
      </c>
      <c r="E35" s="11">
        <f>SUMIF(AWPU!B:B,B35,AWPU!L:L)</f>
        <v>0</v>
      </c>
      <c r="F35" s="1114">
        <f t="shared" si="0"/>
        <v>62481.439002469378</v>
      </c>
      <c r="G35" s="11">
        <f>SUMIF(DEP!B:B,B35,DEP!O:O)</f>
        <v>189724.10783986718</v>
      </c>
      <c r="H35" s="1114">
        <f t="shared" si="1"/>
        <v>66881.136259688297</v>
      </c>
      <c r="I35" s="11">
        <f>SUMIF(LAC!B:B,B35,LAC!D:D)</f>
        <v>0</v>
      </c>
      <c r="J35" s="1114">
        <f t="shared" si="2"/>
        <v>0</v>
      </c>
      <c r="K35" s="11">
        <f>SUMIF(LCHI!B:B,B35,LCHI!D:D)</f>
        <v>0</v>
      </c>
      <c r="L35" s="1114">
        <f t="shared" si="3"/>
        <v>0</v>
      </c>
      <c r="M35" s="11">
        <f>SUMIF(EAL!B:B,B35,EAL!G:G)</f>
        <v>29433.262562790747</v>
      </c>
      <c r="N35" s="1114">
        <f t="shared" si="4"/>
        <v>11789.348183947321</v>
      </c>
      <c r="O35" s="11">
        <f>SUMIF(MOB!B:B,B35,MOB!G:G)</f>
        <v>0</v>
      </c>
      <c r="P35" s="1114">
        <f t="shared" si="5"/>
        <v>0</v>
      </c>
      <c r="Q35" s="1114">
        <f t="shared" si="6"/>
        <v>141151.92344610501</v>
      </c>
      <c r="R35" s="11">
        <v>141151.92344610498</v>
      </c>
      <c r="S35" s="11" t="s">
        <v>1147</v>
      </c>
      <c r="T35" s="11">
        <v>193</v>
      </c>
      <c r="U35" s="11">
        <v>0</v>
      </c>
      <c r="V35" s="11">
        <v>0</v>
      </c>
      <c r="W35" s="1114">
        <f t="shared" si="7"/>
        <v>56543.266707197276</v>
      </c>
      <c r="X35" s="11">
        <v>182699.11439169041</v>
      </c>
      <c r="Y35" s="1114">
        <f t="shared" si="8"/>
        <v>64404.700611207154</v>
      </c>
      <c r="Z35" s="11">
        <v>0</v>
      </c>
      <c r="AA35" s="1114">
        <f t="shared" si="9"/>
        <v>0</v>
      </c>
      <c r="AB35" s="11">
        <v>0</v>
      </c>
      <c r="AC35" s="1114">
        <f t="shared" si="10"/>
        <v>0</v>
      </c>
      <c r="AD35" s="11">
        <v>24317.539641717794</v>
      </c>
      <c r="AE35" s="1114">
        <f t="shared" si="11"/>
        <v>9740.2705935692247</v>
      </c>
      <c r="AF35" s="11">
        <v>0</v>
      </c>
      <c r="AG35" s="1114">
        <f t="shared" si="12"/>
        <v>0</v>
      </c>
      <c r="AH35" s="1114">
        <f t="shared" si="13"/>
        <v>130688.23791197364</v>
      </c>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row>
    <row r="36" spans="1:92" x14ac:dyDescent="0.2">
      <c r="A36" s="9" t="s">
        <v>35</v>
      </c>
      <c r="B36" s="10">
        <v>2002</v>
      </c>
      <c r="C36" s="11">
        <f>SUMIF(AWPU!B:B,B36,AWPU!J:J)</f>
        <v>430</v>
      </c>
      <c r="D36" s="11">
        <f>SUMIF(AWPU!B:B,B36,AWPU!K:K)</f>
        <v>0</v>
      </c>
      <c r="E36" s="11">
        <f>SUMIF(AWPU!B:B,B36,AWPU!L:L)</f>
        <v>0</v>
      </c>
      <c r="F36" s="1114">
        <f t="shared" si="0"/>
        <v>131701.07240716583</v>
      </c>
      <c r="G36" s="11">
        <f>SUMIF(DEP!B:B,B36,DEP!O:O)</f>
        <v>59067.558048394865</v>
      </c>
      <c r="H36" s="1114">
        <f t="shared" si="1"/>
        <v>20822.369088150306</v>
      </c>
      <c r="I36" s="11">
        <f>SUMIF(LAC!B:B,B36,LAC!D:D)</f>
        <v>1346.9518078703702</v>
      </c>
      <c r="J36" s="1114">
        <f t="shared" si="2"/>
        <v>1346.9518078703702</v>
      </c>
      <c r="K36" s="11">
        <f>SUMIF(LCHI!B:B,B36,LCHI!D:D)</f>
        <v>0</v>
      </c>
      <c r="L36" s="1114">
        <f t="shared" si="3"/>
        <v>0</v>
      </c>
      <c r="M36" s="11">
        <f>SUMIF(EAL!B:B,B36,EAL!G:G)</f>
        <v>16042.094125340596</v>
      </c>
      <c r="N36" s="1114">
        <f t="shared" si="4"/>
        <v>6425.5816982513934</v>
      </c>
      <c r="O36" s="11">
        <f>SUMIF(MOB!B:B,B36,MOB!G:G)</f>
        <v>0</v>
      </c>
      <c r="P36" s="1114">
        <f t="shared" si="5"/>
        <v>0</v>
      </c>
      <c r="Q36" s="1114">
        <f t="shared" si="6"/>
        <v>160295.97500143791</v>
      </c>
      <c r="R36" s="11">
        <v>160295.97500143791</v>
      </c>
      <c r="S36" s="11" t="s">
        <v>1149</v>
      </c>
      <c r="T36" s="11">
        <v>426</v>
      </c>
      <c r="U36" s="11">
        <v>0</v>
      </c>
      <c r="V36" s="11">
        <v>0</v>
      </c>
      <c r="W36" s="1114">
        <f t="shared" si="7"/>
        <v>124805.34516718156</v>
      </c>
      <c r="X36" s="11">
        <v>51730.536970747955</v>
      </c>
      <c r="Y36" s="1114">
        <f t="shared" si="8"/>
        <v>18235.938127839872</v>
      </c>
      <c r="Z36" s="11">
        <v>1346.8932574766354</v>
      </c>
      <c r="AA36" s="1114">
        <f t="shared" si="9"/>
        <v>1346.8932574766354</v>
      </c>
      <c r="AB36" s="11">
        <v>0</v>
      </c>
      <c r="AC36" s="1114">
        <f t="shared" si="10"/>
        <v>0</v>
      </c>
      <c r="AD36" s="11">
        <v>9960.1802950819656</v>
      </c>
      <c r="AE36" s="1114">
        <f t="shared" si="11"/>
        <v>3989.5011034916261</v>
      </c>
      <c r="AF36" s="11">
        <v>0</v>
      </c>
      <c r="AG36" s="1114">
        <f t="shared" si="12"/>
        <v>0</v>
      </c>
      <c r="AH36" s="1114">
        <f t="shared" si="13"/>
        <v>148377.67765598968</v>
      </c>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row>
    <row r="37" spans="1:92" x14ac:dyDescent="0.2">
      <c r="A37" s="9" t="s">
        <v>36</v>
      </c>
      <c r="B37" s="10">
        <v>3544</v>
      </c>
      <c r="C37" s="11">
        <f>SUMIF(AWPU!B:B,B37,AWPU!J:J)</f>
        <v>537</v>
      </c>
      <c r="D37" s="11">
        <f>SUMIF(AWPU!B:B,B37,AWPU!K:K)</f>
        <v>0</v>
      </c>
      <c r="E37" s="11">
        <f>SUMIF(AWPU!B:B,B37,AWPU!L:L)</f>
        <v>0</v>
      </c>
      <c r="F37" s="1114">
        <f t="shared" si="0"/>
        <v>164473.1997270885</v>
      </c>
      <c r="G37" s="11">
        <f>SUMIF(DEP!B:B,B37,DEP!O:O)</f>
        <v>437509.37591966859</v>
      </c>
      <c r="H37" s="1114">
        <f t="shared" si="1"/>
        <v>154229.86840698079</v>
      </c>
      <c r="I37" s="11">
        <f>SUMIF(LAC!B:B,B37,LAC!D:D)</f>
        <v>8074.1929766666663</v>
      </c>
      <c r="J37" s="1114">
        <f t="shared" si="2"/>
        <v>8074.1929766666663</v>
      </c>
      <c r="K37" s="11">
        <f>SUMIF(LCHI!B:B,B37,LCHI!D:D)</f>
        <v>0</v>
      </c>
      <c r="L37" s="1114">
        <f t="shared" si="3"/>
        <v>0</v>
      </c>
      <c r="M37" s="11">
        <f>SUMIF(EAL!B:B,B37,EAL!G:G)</f>
        <v>235063.0782943395</v>
      </c>
      <c r="N37" s="1114">
        <f t="shared" si="4"/>
        <v>94153.356913474287</v>
      </c>
      <c r="O37" s="11">
        <f>SUMIF(MOB!B:B,B37,MOB!G:G)</f>
        <v>0</v>
      </c>
      <c r="P37" s="1114">
        <f t="shared" si="5"/>
        <v>0</v>
      </c>
      <c r="Q37" s="1114">
        <f t="shared" si="6"/>
        <v>420930.61802421027</v>
      </c>
      <c r="R37" s="11">
        <v>420930.61802421027</v>
      </c>
      <c r="S37" s="11" t="s">
        <v>1150</v>
      </c>
      <c r="T37" s="11">
        <v>537</v>
      </c>
      <c r="U37" s="11">
        <v>0</v>
      </c>
      <c r="V37" s="11">
        <v>0</v>
      </c>
      <c r="W37" s="1114">
        <f t="shared" si="7"/>
        <v>157325.04778116549</v>
      </c>
      <c r="X37" s="11">
        <v>447360.96678965638</v>
      </c>
      <c r="Y37" s="1114">
        <f t="shared" si="8"/>
        <v>157702.73012630679</v>
      </c>
      <c r="Z37" s="11">
        <v>0</v>
      </c>
      <c r="AA37" s="1114">
        <f t="shared" si="9"/>
        <v>0</v>
      </c>
      <c r="AB37" s="11">
        <v>0</v>
      </c>
      <c r="AC37" s="1114">
        <f t="shared" si="10"/>
        <v>0</v>
      </c>
      <c r="AD37" s="11">
        <v>206933.80079873133</v>
      </c>
      <c r="AE37" s="1114">
        <f t="shared" si="11"/>
        <v>82886.313518229465</v>
      </c>
      <c r="AF37" s="11">
        <v>0</v>
      </c>
      <c r="AG37" s="1114">
        <f t="shared" si="12"/>
        <v>0</v>
      </c>
      <c r="AH37" s="1114">
        <f t="shared" si="13"/>
        <v>397914.09142570174</v>
      </c>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row>
    <row r="38" spans="1:92" x14ac:dyDescent="0.2">
      <c r="A38" s="9" t="s">
        <v>100</v>
      </c>
      <c r="B38" s="10">
        <v>2006</v>
      </c>
      <c r="C38" s="11">
        <f>SUMIF(AWPU!B:B,B38,AWPU!J:J)</f>
        <v>263</v>
      </c>
      <c r="D38" s="11">
        <f>SUMIF(AWPU!B:B,B38,AWPU!K:K)</f>
        <v>0</v>
      </c>
      <c r="E38" s="11">
        <f>SUMIF(AWPU!B:B,B38,AWPU!L:L)</f>
        <v>0</v>
      </c>
      <c r="F38" s="1114">
        <f t="shared" si="0"/>
        <v>80552.051262987487</v>
      </c>
      <c r="G38" s="11">
        <f>SUMIF(DEP!B:B,B38,DEP!O:O)</f>
        <v>15617.155996870268</v>
      </c>
      <c r="H38" s="1114">
        <f t="shared" si="1"/>
        <v>5505.3263926641948</v>
      </c>
      <c r="I38" s="11">
        <f>SUMIF(LAC!B:B,B38,LAC!D:D)</f>
        <v>1429.3011730923693</v>
      </c>
      <c r="J38" s="1114">
        <f t="shared" si="2"/>
        <v>1429.3011730923693</v>
      </c>
      <c r="K38" s="11">
        <f>SUMIF(LCHI!B:B,B38,LCHI!D:D)</f>
        <v>0</v>
      </c>
      <c r="L38" s="1114">
        <f t="shared" si="3"/>
        <v>0</v>
      </c>
      <c r="M38" s="11">
        <f>SUMIF(EAL!B:B,B38,EAL!G:G)</f>
        <v>5185.6679585253496</v>
      </c>
      <c r="N38" s="1114">
        <f t="shared" si="4"/>
        <v>2077.0937302302918</v>
      </c>
      <c r="O38" s="11">
        <f>SUMIF(MOB!B:B,B38,MOB!G:G)</f>
        <v>0</v>
      </c>
      <c r="P38" s="1114">
        <f t="shared" si="5"/>
        <v>0</v>
      </c>
      <c r="Q38" s="1114">
        <f t="shared" si="6"/>
        <v>89563.772558974335</v>
      </c>
      <c r="R38" s="11">
        <v>89563.77255897435</v>
      </c>
      <c r="S38" s="11" t="s">
        <v>1151</v>
      </c>
      <c r="T38" s="11">
        <v>246</v>
      </c>
      <c r="U38" s="11">
        <v>0</v>
      </c>
      <c r="V38" s="11">
        <v>0</v>
      </c>
      <c r="W38" s="1114">
        <f t="shared" si="7"/>
        <v>72070.692279640061</v>
      </c>
      <c r="X38" s="11">
        <v>14177.172832281145</v>
      </c>
      <c r="Y38" s="1114">
        <f t="shared" si="8"/>
        <v>4997.7066107657929</v>
      </c>
      <c r="Z38" s="11">
        <v>5690.449712820513</v>
      </c>
      <c r="AA38" s="1114">
        <f t="shared" si="9"/>
        <v>5690.449712820513</v>
      </c>
      <c r="AB38" s="11">
        <v>0</v>
      </c>
      <c r="AC38" s="1114">
        <f t="shared" si="10"/>
        <v>0</v>
      </c>
      <c r="AD38" s="11">
        <v>6347.0506974874324</v>
      </c>
      <c r="AE38" s="1114">
        <f t="shared" si="11"/>
        <v>2542.2798595369231</v>
      </c>
      <c r="AF38" s="11">
        <v>0</v>
      </c>
      <c r="AG38" s="1114">
        <f t="shared" si="12"/>
        <v>0</v>
      </c>
      <c r="AH38" s="1114">
        <f t="shared" si="13"/>
        <v>85301.128462763285</v>
      </c>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row>
    <row r="39" spans="1:92" x14ac:dyDescent="0.2">
      <c r="A39" s="9" t="s">
        <v>37</v>
      </c>
      <c r="B39" s="10">
        <v>2434</v>
      </c>
      <c r="C39" s="11">
        <f>SUMIF(AWPU!B:B,B39,AWPU!J:J)</f>
        <v>461</v>
      </c>
      <c r="D39" s="11">
        <f>SUMIF(AWPU!B:B,B39,AWPU!K:K)</f>
        <v>0</v>
      </c>
      <c r="E39" s="11">
        <f>SUMIF(AWPU!B:B,B39,AWPU!L:L)</f>
        <v>0</v>
      </c>
      <c r="F39" s="1114">
        <f t="shared" si="0"/>
        <v>141195.80088303128</v>
      </c>
      <c r="G39" s="11">
        <f>SUMIF(DEP!B:B,B39,DEP!O:O)</f>
        <v>411644.5782854876</v>
      </c>
      <c r="H39" s="1114">
        <f t="shared" si="1"/>
        <v>145112.06532651521</v>
      </c>
      <c r="I39" s="11">
        <f>SUMIF(LAC!B:B,B39,LAC!D:D)</f>
        <v>12645.261460135134</v>
      </c>
      <c r="J39" s="1114">
        <f t="shared" si="2"/>
        <v>12645.261460135134</v>
      </c>
      <c r="K39" s="11">
        <f>SUMIF(LCHI!B:B,B39,LCHI!D:D)</f>
        <v>0</v>
      </c>
      <c r="L39" s="1114">
        <f t="shared" si="3"/>
        <v>0</v>
      </c>
      <c r="M39" s="11">
        <f>SUMIF(EAL!B:B,B39,EAL!G:G)</f>
        <v>12360.102824020873</v>
      </c>
      <c r="N39" s="1114">
        <f t="shared" si="4"/>
        <v>4950.7782384270022</v>
      </c>
      <c r="O39" s="11">
        <f>SUMIF(MOB!B:B,B39,MOB!G:G)</f>
        <v>19526.377200845622</v>
      </c>
      <c r="P39" s="1114">
        <f t="shared" si="5"/>
        <v>19526.377200845622</v>
      </c>
      <c r="Q39" s="1114">
        <f t="shared" si="6"/>
        <v>323430.28310895426</v>
      </c>
      <c r="R39" s="11">
        <v>323430.28310895426</v>
      </c>
      <c r="S39" s="11" t="s">
        <v>1152</v>
      </c>
      <c r="T39" s="11">
        <v>431</v>
      </c>
      <c r="U39" s="11">
        <v>0</v>
      </c>
      <c r="V39" s="11">
        <v>0</v>
      </c>
      <c r="W39" s="1114">
        <f t="shared" si="7"/>
        <v>126270.19663627993</v>
      </c>
      <c r="X39" s="11">
        <v>395016.7202162394</v>
      </c>
      <c r="Y39" s="1114">
        <f t="shared" si="8"/>
        <v>139250.44840340503</v>
      </c>
      <c r="Z39" s="11">
        <v>19050.43510075377</v>
      </c>
      <c r="AA39" s="1114">
        <f t="shared" si="9"/>
        <v>19050.43510075377</v>
      </c>
      <c r="AB39" s="11">
        <v>0</v>
      </c>
      <c r="AC39" s="1114">
        <f t="shared" si="10"/>
        <v>0</v>
      </c>
      <c r="AD39" s="11">
        <v>14669.02769659092</v>
      </c>
      <c r="AE39" s="1114">
        <f t="shared" si="11"/>
        <v>5875.6067108137731</v>
      </c>
      <c r="AF39" s="11">
        <v>33498.152812641049</v>
      </c>
      <c r="AG39" s="1114">
        <f t="shared" si="12"/>
        <v>33498.152812641049</v>
      </c>
      <c r="AH39" s="1114">
        <f t="shared" si="13"/>
        <v>323944.83966389357</v>
      </c>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row>
    <row r="40" spans="1:92" x14ac:dyDescent="0.2">
      <c r="A40" s="9" t="s">
        <v>38</v>
      </c>
      <c r="B40" s="10">
        <v>2522</v>
      </c>
      <c r="C40" s="11">
        <f>SUMIF(AWPU!B:B,B40,AWPU!J:J)</f>
        <v>388</v>
      </c>
      <c r="D40" s="11">
        <f>SUMIF(AWPU!B:B,B40,AWPU!K:K)</f>
        <v>0</v>
      </c>
      <c r="E40" s="11">
        <f>SUMIF(AWPU!B:B,B40,AWPU!L:L)</f>
        <v>0</v>
      </c>
      <c r="F40" s="1114">
        <f t="shared" si="0"/>
        <v>118837.24673018685</v>
      </c>
      <c r="G40" s="11">
        <f>SUMIF(DEP!B:B,B40,DEP!O:O)</f>
        <v>66366.785231563757</v>
      </c>
      <c r="H40" s="1114">
        <f t="shared" si="1"/>
        <v>23395.477025703389</v>
      </c>
      <c r="I40" s="11">
        <f>SUMIF(LAC!B:B,B40,LAC!D:D)</f>
        <v>1271.3028561743342</v>
      </c>
      <c r="J40" s="1114">
        <f t="shared" si="2"/>
        <v>1271.3028561743342</v>
      </c>
      <c r="K40" s="11">
        <f>SUMIF(LCHI!B:B,B40,LCHI!D:D)</f>
        <v>0</v>
      </c>
      <c r="L40" s="1114">
        <f t="shared" si="3"/>
        <v>0</v>
      </c>
      <c r="M40" s="11">
        <f>SUMIF(EAL!B:B,B40,EAL!G:G)</f>
        <v>6640.4942879999999</v>
      </c>
      <c r="N40" s="1114">
        <f t="shared" si="4"/>
        <v>2659.8172427447839</v>
      </c>
      <c r="O40" s="11">
        <f>SUMIF(MOB!B:B,B40,MOB!G:G)</f>
        <v>0</v>
      </c>
      <c r="P40" s="1114">
        <f t="shared" si="5"/>
        <v>0</v>
      </c>
      <c r="Q40" s="1114">
        <f t="shared" si="6"/>
        <v>146163.84385480935</v>
      </c>
      <c r="R40" s="11">
        <v>146163.84385480935</v>
      </c>
      <c r="S40" s="11" t="s">
        <v>1153</v>
      </c>
      <c r="T40" s="11">
        <v>412</v>
      </c>
      <c r="U40" s="11">
        <v>0</v>
      </c>
      <c r="V40" s="11">
        <v>0</v>
      </c>
      <c r="W40" s="1114">
        <f t="shared" si="7"/>
        <v>120703.76105370611</v>
      </c>
      <c r="X40" s="11">
        <v>51191.055104805746</v>
      </c>
      <c r="Y40" s="1114">
        <f t="shared" si="8"/>
        <v>18045.761135592973</v>
      </c>
      <c r="Z40" s="11">
        <v>2732.9670607843136</v>
      </c>
      <c r="AA40" s="1114">
        <f t="shared" si="9"/>
        <v>2732.9670607843136</v>
      </c>
      <c r="AB40" s="11">
        <v>0</v>
      </c>
      <c r="AC40" s="1114">
        <f t="shared" si="10"/>
        <v>0</v>
      </c>
      <c r="AD40" s="11">
        <v>8863.2986882681653</v>
      </c>
      <c r="AE40" s="1114">
        <f t="shared" si="11"/>
        <v>3550.1505846115547</v>
      </c>
      <c r="AF40" s="11">
        <v>0</v>
      </c>
      <c r="AG40" s="1114">
        <f t="shared" si="12"/>
        <v>0</v>
      </c>
      <c r="AH40" s="1114">
        <f t="shared" si="13"/>
        <v>145032.63983469494</v>
      </c>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row>
    <row r="41" spans="1:92" x14ac:dyDescent="0.2">
      <c r="A41" s="9" t="s">
        <v>39</v>
      </c>
      <c r="B41" s="10">
        <v>2436</v>
      </c>
      <c r="C41" s="11">
        <f>SUMIF(AWPU!B:B,B41,AWPU!J:J)</f>
        <v>336</v>
      </c>
      <c r="D41" s="11">
        <f>SUMIF(AWPU!B:B,B41,AWPU!K:K)</f>
        <v>0</v>
      </c>
      <c r="E41" s="11">
        <f>SUMIF(AWPU!B:B,B41,AWPU!L:L)</f>
        <v>0</v>
      </c>
      <c r="F41" s="1114">
        <f t="shared" si="0"/>
        <v>102910.60541583192</v>
      </c>
      <c r="G41" s="11">
        <f>SUMIF(DEP!B:B,B41,DEP!O:O)</f>
        <v>103372.63140862244</v>
      </c>
      <c r="H41" s="1114">
        <f t="shared" si="1"/>
        <v>36440.698683363764</v>
      </c>
      <c r="I41" s="11">
        <f>SUMIF(LAC!B:B,B41,LAC!D:D)</f>
        <v>2755.6412799999998</v>
      </c>
      <c r="J41" s="1114">
        <f t="shared" si="2"/>
        <v>2755.6412799999998</v>
      </c>
      <c r="K41" s="11">
        <f>SUMIF(LCHI!B:B,B41,LCHI!D:D)</f>
        <v>0</v>
      </c>
      <c r="L41" s="1114">
        <f t="shared" si="3"/>
        <v>0</v>
      </c>
      <c r="M41" s="11">
        <f>SUMIF(EAL!B:B,B41,EAL!G:G)</f>
        <v>3091.6834064516097</v>
      </c>
      <c r="N41" s="1114">
        <f t="shared" si="4"/>
        <v>1238.3585433464227</v>
      </c>
      <c r="O41" s="11">
        <f>SUMIF(MOB!B:B,B41,MOB!G:G)</f>
        <v>0</v>
      </c>
      <c r="P41" s="1114">
        <f t="shared" si="5"/>
        <v>0</v>
      </c>
      <c r="Q41" s="1114">
        <f t="shared" si="6"/>
        <v>143345.30392254211</v>
      </c>
      <c r="R41" s="11">
        <v>143345.30392254211</v>
      </c>
      <c r="S41" s="11" t="s">
        <v>1154</v>
      </c>
      <c r="T41" s="11">
        <v>321</v>
      </c>
      <c r="U41" s="11">
        <v>0</v>
      </c>
      <c r="V41" s="11">
        <v>0</v>
      </c>
      <c r="W41" s="1114">
        <f t="shared" si="7"/>
        <v>94043.464316115686</v>
      </c>
      <c r="X41" s="11">
        <v>85007.51395236289</v>
      </c>
      <c r="Y41" s="1114">
        <f t="shared" si="8"/>
        <v>29966.6668009528</v>
      </c>
      <c r="Z41" s="11">
        <v>2775.6074166134181</v>
      </c>
      <c r="AA41" s="1114">
        <f t="shared" si="9"/>
        <v>2775.6074166134181</v>
      </c>
      <c r="AB41" s="11">
        <v>0</v>
      </c>
      <c r="AC41" s="1114">
        <f t="shared" si="10"/>
        <v>0</v>
      </c>
      <c r="AD41" s="11">
        <v>5202.4725340908981</v>
      </c>
      <c r="AE41" s="1114">
        <f t="shared" si="11"/>
        <v>2083.8247201096187</v>
      </c>
      <c r="AF41" s="11">
        <v>0</v>
      </c>
      <c r="AG41" s="1114">
        <f t="shared" si="12"/>
        <v>0</v>
      </c>
      <c r="AH41" s="1114">
        <f t="shared" si="13"/>
        <v>128869.56325379152</v>
      </c>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row>
    <row r="42" spans="1:92" x14ac:dyDescent="0.2">
      <c r="A42" s="9" t="s">
        <v>40</v>
      </c>
      <c r="B42" s="10">
        <v>2452</v>
      </c>
      <c r="C42" s="11">
        <f>SUMIF(AWPU!B:B,B42,AWPU!J:J)</f>
        <v>202</v>
      </c>
      <c r="D42" s="11">
        <f>SUMIF(AWPU!B:B,B42,AWPU!K:K)</f>
        <v>0</v>
      </c>
      <c r="E42" s="11">
        <f>SUMIF(AWPU!B:B,B42,AWPU!L:L)</f>
        <v>0</v>
      </c>
      <c r="F42" s="1114">
        <f t="shared" si="0"/>
        <v>61868.875874994184</v>
      </c>
      <c r="G42" s="11">
        <f>SUMIF(DEP!B:B,B42,DEP!O:O)</f>
        <v>119577.55712716958</v>
      </c>
      <c r="H42" s="1114">
        <f t="shared" si="1"/>
        <v>42153.224399784791</v>
      </c>
      <c r="I42" s="11">
        <f>SUMIF(LAC!B:B,B42,LAC!D:D)</f>
        <v>0</v>
      </c>
      <c r="J42" s="1114">
        <f t="shared" si="2"/>
        <v>0</v>
      </c>
      <c r="K42" s="11">
        <f>SUMIF(LCHI!B:B,B42,LCHI!D:D)</f>
        <v>0</v>
      </c>
      <c r="L42" s="1114">
        <f t="shared" si="3"/>
        <v>0</v>
      </c>
      <c r="M42" s="11">
        <f>SUMIF(EAL!B:B,B42,EAL!G:G)</f>
        <v>9766.0015593220269</v>
      </c>
      <c r="N42" s="1114">
        <f t="shared" si="4"/>
        <v>3911.7237683793896</v>
      </c>
      <c r="O42" s="11">
        <f>SUMIF(MOB!B:B,B42,MOB!G:G)</f>
        <v>0</v>
      </c>
      <c r="P42" s="1114">
        <f t="shared" si="5"/>
        <v>0</v>
      </c>
      <c r="Q42" s="1114">
        <f t="shared" si="6"/>
        <v>107933.82404315835</v>
      </c>
      <c r="R42" s="11">
        <v>107933.82404315835</v>
      </c>
      <c r="S42" s="11" t="s">
        <v>1155</v>
      </c>
      <c r="T42" s="11">
        <v>207</v>
      </c>
      <c r="U42" s="11">
        <v>0</v>
      </c>
      <c r="V42" s="11">
        <v>0</v>
      </c>
      <c r="W42" s="1114">
        <f t="shared" si="7"/>
        <v>60644.850820672727</v>
      </c>
      <c r="X42" s="11">
        <v>120977.72764662586</v>
      </c>
      <c r="Y42" s="1114">
        <f t="shared" si="8"/>
        <v>42646.809513267544</v>
      </c>
      <c r="Z42" s="11">
        <v>1379.8810684729062</v>
      </c>
      <c r="AA42" s="1114">
        <f t="shared" si="9"/>
        <v>1379.8810684729062</v>
      </c>
      <c r="AB42" s="11">
        <v>0</v>
      </c>
      <c r="AC42" s="1114">
        <f t="shared" si="10"/>
        <v>0</v>
      </c>
      <c r="AD42" s="11">
        <v>5937.5496067039103</v>
      </c>
      <c r="AE42" s="1114">
        <f t="shared" si="11"/>
        <v>2378.256216875699</v>
      </c>
      <c r="AF42" s="11">
        <v>0</v>
      </c>
      <c r="AG42" s="1114">
        <f t="shared" si="12"/>
        <v>0</v>
      </c>
      <c r="AH42" s="1114">
        <f t="shared" si="13"/>
        <v>107049.79761928887</v>
      </c>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row>
    <row r="43" spans="1:92" x14ac:dyDescent="0.2">
      <c r="A43" s="9" t="s">
        <v>41</v>
      </c>
      <c r="B43" s="10">
        <v>2627</v>
      </c>
      <c r="C43" s="11">
        <f>SUMIF(AWPU!B:B,B43,AWPU!J:J)</f>
        <v>392</v>
      </c>
      <c r="D43" s="11">
        <f>SUMIF(AWPU!B:B,B43,AWPU!K:K)</f>
        <v>0</v>
      </c>
      <c r="E43" s="11">
        <f>SUMIF(AWPU!B:B,B43,AWPU!L:L)</f>
        <v>0</v>
      </c>
      <c r="F43" s="1114">
        <f t="shared" si="0"/>
        <v>120062.37298513723</v>
      </c>
      <c r="G43" s="11">
        <f>SUMIF(DEP!B:B,B43,DEP!O:O)</f>
        <v>42400.473428377605</v>
      </c>
      <c r="H43" s="1114">
        <f t="shared" si="1"/>
        <v>14946.92410535465</v>
      </c>
      <c r="I43" s="11">
        <f>SUMIF(LAC!B:B,B43,LAC!D:D)</f>
        <v>0</v>
      </c>
      <c r="J43" s="1114">
        <f t="shared" si="2"/>
        <v>0</v>
      </c>
      <c r="K43" s="11">
        <f>SUMIF(LCHI!B:B,B43,LCHI!D:D)</f>
        <v>0</v>
      </c>
      <c r="L43" s="1114">
        <f t="shared" si="3"/>
        <v>0</v>
      </c>
      <c r="M43" s="11">
        <f>SUMIF(EAL!B:B,B43,EAL!G:G)</f>
        <v>33342.688062650603</v>
      </c>
      <c r="N43" s="1114">
        <f t="shared" si="4"/>
        <v>13355.249290517686</v>
      </c>
      <c r="O43" s="11">
        <f>SUMIF(MOB!B:B,B43,MOB!G:G)</f>
        <v>0</v>
      </c>
      <c r="P43" s="1114">
        <f t="shared" si="5"/>
        <v>0</v>
      </c>
      <c r="Q43" s="1114">
        <f t="shared" si="6"/>
        <v>148364.54638100957</v>
      </c>
      <c r="R43" s="11">
        <v>148364.54638100957</v>
      </c>
      <c r="S43" s="11" t="s">
        <v>1156</v>
      </c>
      <c r="T43" s="11">
        <v>388</v>
      </c>
      <c r="U43" s="11">
        <v>0</v>
      </c>
      <c r="V43" s="11">
        <v>0</v>
      </c>
      <c r="W43" s="1114">
        <f t="shared" si="7"/>
        <v>113672.47400203391</v>
      </c>
      <c r="X43" s="11">
        <v>42480.39437517144</v>
      </c>
      <c r="Y43" s="1114">
        <f t="shared" si="8"/>
        <v>14975.097666392203</v>
      </c>
      <c r="Z43" s="11">
        <v>0</v>
      </c>
      <c r="AA43" s="1114">
        <f t="shared" si="9"/>
        <v>0</v>
      </c>
      <c r="AB43" s="11">
        <v>0</v>
      </c>
      <c r="AC43" s="1114">
        <f t="shared" si="10"/>
        <v>0</v>
      </c>
      <c r="AD43" s="11">
        <v>26080.491161329312</v>
      </c>
      <c r="AE43" s="1114">
        <f t="shared" si="11"/>
        <v>10446.412131626041</v>
      </c>
      <c r="AF43" s="11">
        <v>0</v>
      </c>
      <c r="AG43" s="1114">
        <f t="shared" si="12"/>
        <v>0</v>
      </c>
      <c r="AH43" s="1114">
        <f t="shared" si="13"/>
        <v>139093.98380005214</v>
      </c>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row>
    <row r="44" spans="1:92" x14ac:dyDescent="0.2">
      <c r="A44" s="9" t="s">
        <v>42</v>
      </c>
      <c r="B44" s="10">
        <v>2009</v>
      </c>
      <c r="C44" s="11">
        <f>SUMIF(AWPU!B:B,B44,AWPU!J:J)</f>
        <v>284</v>
      </c>
      <c r="D44" s="11">
        <f>SUMIF(AWPU!B:B,B44,AWPU!K:K)</f>
        <v>0</v>
      </c>
      <c r="E44" s="11">
        <f>SUMIF(AWPU!B:B,B44,AWPU!L:L)</f>
        <v>0</v>
      </c>
      <c r="F44" s="1114">
        <f t="shared" si="0"/>
        <v>86983.964101476973</v>
      </c>
      <c r="G44" s="11">
        <f>SUMIF(DEP!B:B,B44,DEP!O:O)</f>
        <v>300945.38695580547</v>
      </c>
      <c r="H44" s="1114">
        <f t="shared" si="1"/>
        <v>106088.62342736179</v>
      </c>
      <c r="I44" s="11">
        <f>SUMIF(LAC!B:B,B44,LAC!D:D)</f>
        <v>0</v>
      </c>
      <c r="J44" s="1114">
        <f t="shared" si="2"/>
        <v>0</v>
      </c>
      <c r="K44" s="11">
        <f>SUMIF(LCHI!B:B,B44,LCHI!D:D)</f>
        <v>0</v>
      </c>
      <c r="L44" s="1114">
        <f t="shared" si="3"/>
        <v>0</v>
      </c>
      <c r="M44" s="11">
        <f>SUMIF(EAL!B:B,B44,EAL!G:G)</f>
        <v>15578.743538461538</v>
      </c>
      <c r="N44" s="1114">
        <f t="shared" si="4"/>
        <v>6239.9889054612622</v>
      </c>
      <c r="O44" s="11">
        <f>SUMIF(MOB!B:B,B44,MOB!G:G)</f>
        <v>0</v>
      </c>
      <c r="P44" s="1114">
        <f t="shared" si="5"/>
        <v>0</v>
      </c>
      <c r="Q44" s="1114">
        <f t="shared" si="6"/>
        <v>199312.57643430002</v>
      </c>
      <c r="R44" s="11">
        <v>199312.57643430005</v>
      </c>
      <c r="S44" s="11" t="s">
        <v>1157</v>
      </c>
      <c r="T44" s="11">
        <v>276</v>
      </c>
      <c r="U44" s="11">
        <v>0</v>
      </c>
      <c r="V44" s="11">
        <v>0</v>
      </c>
      <c r="W44" s="1114">
        <f t="shared" si="7"/>
        <v>80859.801094230308</v>
      </c>
      <c r="X44" s="11">
        <v>288077.79275282728</v>
      </c>
      <c r="Y44" s="1114">
        <f t="shared" si="8"/>
        <v>101552.56667093666</v>
      </c>
      <c r="Z44" s="11">
        <v>0</v>
      </c>
      <c r="AA44" s="1114">
        <f t="shared" si="9"/>
        <v>0</v>
      </c>
      <c r="AB44" s="11">
        <v>0</v>
      </c>
      <c r="AC44" s="1114">
        <f t="shared" si="10"/>
        <v>0</v>
      </c>
      <c r="AD44" s="11">
        <v>9706.1313205479437</v>
      </c>
      <c r="AE44" s="1114">
        <f t="shared" si="11"/>
        <v>3887.7430394589051</v>
      </c>
      <c r="AF44" s="11">
        <v>0</v>
      </c>
      <c r="AG44" s="1114">
        <f t="shared" si="12"/>
        <v>0</v>
      </c>
      <c r="AH44" s="1114">
        <f t="shared" si="13"/>
        <v>186300.11080462587</v>
      </c>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row>
    <row r="45" spans="1:92" x14ac:dyDescent="0.2">
      <c r="A45" s="9" t="s">
        <v>101</v>
      </c>
      <c r="B45" s="10">
        <v>2473</v>
      </c>
      <c r="C45" s="11">
        <f>SUMIF(AWPU!B:B,B45,AWPU!J:J)</f>
        <v>269</v>
      </c>
      <c r="D45" s="11">
        <f>SUMIF(AWPU!B:B,B45,AWPU!K:K)</f>
        <v>0</v>
      </c>
      <c r="E45" s="11">
        <f>SUMIF(AWPU!B:B,B45,AWPU!L:L)</f>
        <v>0</v>
      </c>
      <c r="F45" s="1114">
        <f t="shared" si="0"/>
        <v>82389.740645413054</v>
      </c>
      <c r="G45" s="11">
        <f>SUMIF(DEP!B:B,B45,DEP!O:O)</f>
        <v>190719.58603943547</v>
      </c>
      <c r="H45" s="1114">
        <f t="shared" si="1"/>
        <v>67232.06010308869</v>
      </c>
      <c r="I45" s="11">
        <f>SUMIF(LAC!B:B,B45,LAC!D:D)</f>
        <v>0</v>
      </c>
      <c r="J45" s="1114">
        <f t="shared" si="2"/>
        <v>0</v>
      </c>
      <c r="K45" s="11">
        <f>SUMIF(LCHI!B:B,B45,LCHI!D:D)</f>
        <v>0</v>
      </c>
      <c r="L45" s="1114">
        <f t="shared" si="3"/>
        <v>0</v>
      </c>
      <c r="M45" s="11">
        <f>SUMIF(EAL!B:B,B45,EAL!G:G)</f>
        <v>1278.8466233333343</v>
      </c>
      <c r="N45" s="1114">
        <f t="shared" si="4"/>
        <v>512.23570897648005</v>
      </c>
      <c r="O45" s="11">
        <f>SUMIF(MOB!B:B,B45,MOB!G:G)</f>
        <v>0</v>
      </c>
      <c r="P45" s="1114">
        <f t="shared" si="5"/>
        <v>0</v>
      </c>
      <c r="Q45" s="1114">
        <f t="shared" si="6"/>
        <v>150134.03645747824</v>
      </c>
      <c r="R45" s="11">
        <v>150134.03645747819</v>
      </c>
      <c r="S45" s="11" t="s">
        <v>1158</v>
      </c>
      <c r="T45" s="11">
        <v>267</v>
      </c>
      <c r="U45" s="11">
        <v>0</v>
      </c>
      <c r="V45" s="11">
        <v>0</v>
      </c>
      <c r="W45" s="1114">
        <f t="shared" si="7"/>
        <v>78223.068449853236</v>
      </c>
      <c r="X45" s="11">
        <v>184834.62692775231</v>
      </c>
      <c r="Y45" s="1114">
        <f t="shared" si="8"/>
        <v>65157.506917874191</v>
      </c>
      <c r="Z45" s="11">
        <v>5372.6224371747212</v>
      </c>
      <c r="AA45" s="1114">
        <f t="shared" si="9"/>
        <v>5372.6224371747212</v>
      </c>
      <c r="AB45" s="11">
        <v>0</v>
      </c>
      <c r="AC45" s="1114">
        <f t="shared" si="10"/>
        <v>0</v>
      </c>
      <c r="AD45" s="11">
        <v>7745.1160881356009</v>
      </c>
      <c r="AE45" s="1114">
        <f t="shared" si="11"/>
        <v>3102.2680578929667</v>
      </c>
      <c r="AF45" s="11">
        <v>0</v>
      </c>
      <c r="AG45" s="1114">
        <f t="shared" si="12"/>
        <v>0</v>
      </c>
      <c r="AH45" s="1114">
        <f t="shared" si="13"/>
        <v>151855.46586279513</v>
      </c>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row>
    <row r="46" spans="1:92" x14ac:dyDescent="0.2">
      <c r="A46" s="9" t="s">
        <v>44</v>
      </c>
      <c r="B46" s="10">
        <v>2471</v>
      </c>
      <c r="C46" s="11">
        <f>SUMIF(AWPU!B:B,B46,AWPU!J:J)</f>
        <v>350</v>
      </c>
      <c r="D46" s="11">
        <f>SUMIF(AWPU!B:B,B46,AWPU!K:K)</f>
        <v>0</v>
      </c>
      <c r="E46" s="11">
        <f>SUMIF(AWPU!B:B,B46,AWPU!L:L)</f>
        <v>0</v>
      </c>
      <c r="F46" s="1114">
        <f t="shared" si="0"/>
        <v>107198.54730815825</v>
      </c>
      <c r="G46" s="11">
        <f>SUMIF(DEP!B:B,B46,DEP!O:O)</f>
        <v>260625.69408883888</v>
      </c>
      <c r="H46" s="1114">
        <f t="shared" si="1"/>
        <v>91875.211630161997</v>
      </c>
      <c r="I46" s="11">
        <f>SUMIF(LAC!B:B,B46,LAC!D:D)</f>
        <v>1368.8608236994216</v>
      </c>
      <c r="J46" s="1114">
        <f t="shared" si="2"/>
        <v>1368.8608236994216</v>
      </c>
      <c r="K46" s="11">
        <f>SUMIF(LCHI!B:B,B46,LCHI!D:D)</f>
        <v>0</v>
      </c>
      <c r="L46" s="1114">
        <f t="shared" si="3"/>
        <v>0</v>
      </c>
      <c r="M46" s="11">
        <f>SUMIF(EAL!B:B,B46,EAL!G:G)</f>
        <v>2581.9554310344815</v>
      </c>
      <c r="N46" s="1114">
        <f t="shared" si="4"/>
        <v>1034.1895162645239</v>
      </c>
      <c r="O46" s="11">
        <f>SUMIF(MOB!B:B,B46,MOB!G:G)</f>
        <v>0</v>
      </c>
      <c r="P46" s="1114">
        <f t="shared" si="5"/>
        <v>0</v>
      </c>
      <c r="Q46" s="1114">
        <f t="shared" si="6"/>
        <v>201476.8092782842</v>
      </c>
      <c r="R46" s="11">
        <v>201476.80927828417</v>
      </c>
      <c r="S46" s="11" t="s">
        <v>1159</v>
      </c>
      <c r="T46" s="11">
        <v>346</v>
      </c>
      <c r="U46" s="11">
        <v>0</v>
      </c>
      <c r="V46" s="11">
        <v>0</v>
      </c>
      <c r="W46" s="1114">
        <f t="shared" si="7"/>
        <v>101367.72166160756</v>
      </c>
      <c r="X46" s="11">
        <v>250325.41623040254</v>
      </c>
      <c r="Y46" s="1114">
        <f t="shared" si="8"/>
        <v>88244.179734393751</v>
      </c>
      <c r="Z46" s="11">
        <v>2690.8791850574712</v>
      </c>
      <c r="AA46" s="1114">
        <f t="shared" si="9"/>
        <v>2690.8791850574712</v>
      </c>
      <c r="AB46" s="11">
        <v>0</v>
      </c>
      <c r="AC46" s="1114">
        <f t="shared" si="10"/>
        <v>0</v>
      </c>
      <c r="AD46" s="11">
        <v>8557.337999999987</v>
      </c>
      <c r="AE46" s="1114">
        <f t="shared" si="11"/>
        <v>3427.5995396195617</v>
      </c>
      <c r="AF46" s="11">
        <v>0</v>
      </c>
      <c r="AG46" s="1114">
        <f t="shared" si="12"/>
        <v>0</v>
      </c>
      <c r="AH46" s="1114">
        <f t="shared" si="13"/>
        <v>195730.38012067834</v>
      </c>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row>
    <row r="47" spans="1:92" x14ac:dyDescent="0.2">
      <c r="A47" s="9" t="s">
        <v>43</v>
      </c>
      <c r="B47" s="10">
        <v>2420</v>
      </c>
      <c r="C47" s="11">
        <f>SUMIF(AWPU!B:B,B47,AWPU!J:J)</f>
        <v>503</v>
      </c>
      <c r="D47" s="11">
        <f>SUMIF(AWPU!B:B,B47,AWPU!K:K)</f>
        <v>0</v>
      </c>
      <c r="E47" s="11">
        <f>SUMIF(AWPU!B:B,B47,AWPU!L:L)</f>
        <v>0</v>
      </c>
      <c r="F47" s="1114">
        <f t="shared" si="0"/>
        <v>154059.62656001028</v>
      </c>
      <c r="G47" s="11">
        <f>SUMIF(DEP!B:B,B47,DEP!O:O)</f>
        <v>711034.55027346476</v>
      </c>
      <c r="H47" s="1114">
        <f t="shared" si="1"/>
        <v>250652.37719986256</v>
      </c>
      <c r="I47" s="11">
        <f>SUMIF(LAC!B:B,B47,LAC!D:D)</f>
        <v>4353.9530923240936</v>
      </c>
      <c r="J47" s="1114">
        <f t="shared" si="2"/>
        <v>4353.9530923240936</v>
      </c>
      <c r="K47" s="11">
        <f>SUMIF(LCHI!B:B,B47,LCHI!D:D)</f>
        <v>0</v>
      </c>
      <c r="L47" s="1114">
        <f t="shared" si="3"/>
        <v>0</v>
      </c>
      <c r="M47" s="11">
        <f>SUMIF(EAL!B:B,B47,EAL!G:G)</f>
        <v>134188.08916546774</v>
      </c>
      <c r="N47" s="1114">
        <f t="shared" si="4"/>
        <v>53748.377433027257</v>
      </c>
      <c r="O47" s="11">
        <f>SUMIF(MOB!B:B,B47,MOB!G:G)</f>
        <v>63223.136000000188</v>
      </c>
      <c r="P47" s="1114">
        <f t="shared" si="5"/>
        <v>63223.136000000188</v>
      </c>
      <c r="Q47" s="1114">
        <f t="shared" si="6"/>
        <v>526037.47028522438</v>
      </c>
      <c r="R47" s="11">
        <v>526037.47028522438</v>
      </c>
      <c r="S47" s="11" t="s">
        <v>1160</v>
      </c>
      <c r="T47" s="11">
        <v>465</v>
      </c>
      <c r="U47" s="11">
        <v>0</v>
      </c>
      <c r="V47" s="11">
        <v>0</v>
      </c>
      <c r="W47" s="1114">
        <f t="shared" si="7"/>
        <v>136231.18662614888</v>
      </c>
      <c r="X47" s="11">
        <v>669503.67432628619</v>
      </c>
      <c r="Y47" s="1114">
        <f t="shared" si="8"/>
        <v>236012.00173660374</v>
      </c>
      <c r="Z47" s="11">
        <v>4130.716184901532</v>
      </c>
      <c r="AA47" s="1114">
        <f t="shared" si="9"/>
        <v>4130.716184901532</v>
      </c>
      <c r="AB47" s="11">
        <v>0</v>
      </c>
      <c r="AC47" s="1114">
        <f t="shared" si="10"/>
        <v>0</v>
      </c>
      <c r="AD47" s="11">
        <v>114583.20384816751</v>
      </c>
      <c r="AE47" s="1114">
        <f t="shared" si="11"/>
        <v>45895.737290979268</v>
      </c>
      <c r="AF47" s="11">
        <v>60583.839999999771</v>
      </c>
      <c r="AG47" s="1114">
        <f t="shared" si="12"/>
        <v>60583.839999999771</v>
      </c>
      <c r="AH47" s="1114">
        <f t="shared" si="13"/>
        <v>482853.48183863319</v>
      </c>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row>
    <row r="48" spans="1:92" x14ac:dyDescent="0.2">
      <c r="A48" s="9" t="s">
        <v>45</v>
      </c>
      <c r="B48" s="10">
        <v>2003</v>
      </c>
      <c r="C48" s="11">
        <f>SUMIF(AWPU!B:B,B48,AWPU!J:J)</f>
        <v>213</v>
      </c>
      <c r="D48" s="11">
        <f>SUMIF(AWPU!B:B,B48,AWPU!K:K)</f>
        <v>0</v>
      </c>
      <c r="E48" s="11">
        <f>SUMIF(AWPU!B:B,B48,AWPU!L:L)</f>
        <v>0</v>
      </c>
      <c r="F48" s="1114">
        <f t="shared" si="0"/>
        <v>65237.97307610773</v>
      </c>
      <c r="G48" s="11">
        <f>SUMIF(DEP!B:B,B48,DEP!O:O)</f>
        <v>16018.565080571685</v>
      </c>
      <c r="H48" s="1114">
        <f t="shared" si="1"/>
        <v>5646.8302633561079</v>
      </c>
      <c r="I48" s="11">
        <f>SUMIF(LAC!B:B,B48,LAC!D:D)</f>
        <v>1366.0433985781992</v>
      </c>
      <c r="J48" s="1114">
        <f t="shared" si="2"/>
        <v>1366.0433985781992</v>
      </c>
      <c r="K48" s="11">
        <f>SUMIF(LCHI!B:B,B48,LCHI!D:D)</f>
        <v>0</v>
      </c>
      <c r="L48" s="1114">
        <f t="shared" si="3"/>
        <v>0</v>
      </c>
      <c r="M48" s="11">
        <f>SUMIF(EAL!B:B,B48,EAL!G:G)</f>
        <v>0</v>
      </c>
      <c r="N48" s="1114">
        <f t="shared" si="4"/>
        <v>0</v>
      </c>
      <c r="O48" s="11">
        <f>SUMIF(MOB!B:B,B48,MOB!G:G)</f>
        <v>0</v>
      </c>
      <c r="P48" s="1114">
        <f t="shared" si="5"/>
        <v>0</v>
      </c>
      <c r="Q48" s="1114">
        <f t="shared" si="6"/>
        <v>72250.846738042033</v>
      </c>
      <c r="R48" s="11">
        <v>72250.846738042033</v>
      </c>
      <c r="S48" s="11" t="s">
        <v>1161</v>
      </c>
      <c r="T48" s="11">
        <v>208</v>
      </c>
      <c r="U48" s="11">
        <v>0</v>
      </c>
      <c r="V48" s="11">
        <v>0</v>
      </c>
      <c r="W48" s="1114">
        <f t="shared" si="7"/>
        <v>60937.821114492406</v>
      </c>
      <c r="X48" s="11">
        <v>13471.01168355112</v>
      </c>
      <c r="Y48" s="1114">
        <f t="shared" si="8"/>
        <v>4748.7721946431284</v>
      </c>
      <c r="Z48" s="11">
        <v>1321.4510497652582</v>
      </c>
      <c r="AA48" s="1114">
        <f t="shared" si="9"/>
        <v>1321.4510497652582</v>
      </c>
      <c r="AB48" s="11">
        <v>0</v>
      </c>
      <c r="AC48" s="1114">
        <f t="shared" si="10"/>
        <v>0</v>
      </c>
      <c r="AD48" s="11">
        <v>3999.834391011244</v>
      </c>
      <c r="AE48" s="1114">
        <f t="shared" si="11"/>
        <v>1602.1139421143175</v>
      </c>
      <c r="AF48" s="11">
        <v>0</v>
      </c>
      <c r="AG48" s="1114">
        <f t="shared" si="12"/>
        <v>0</v>
      </c>
      <c r="AH48" s="1114">
        <f t="shared" si="13"/>
        <v>68610.158301015108</v>
      </c>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row>
    <row r="49" spans="1:92" x14ac:dyDescent="0.2">
      <c r="A49" s="9" t="s">
        <v>46</v>
      </c>
      <c r="B49" s="10">
        <v>2423</v>
      </c>
      <c r="C49" s="11">
        <f>SUMIF(AWPU!B:B,B49,AWPU!J:J)</f>
        <v>333</v>
      </c>
      <c r="D49" s="11">
        <f>SUMIF(AWPU!B:B,B49,AWPU!K:K)</f>
        <v>0</v>
      </c>
      <c r="E49" s="11">
        <f>SUMIF(AWPU!B:B,B49,AWPU!L:L)</f>
        <v>0</v>
      </c>
      <c r="F49" s="1114">
        <f t="shared" si="0"/>
        <v>101991.76072461913</v>
      </c>
      <c r="G49" s="11">
        <f>SUMIF(DEP!B:B,B49,DEP!O:O)</f>
        <v>346086.80570744746</v>
      </c>
      <c r="H49" s="1114">
        <f t="shared" si="1"/>
        <v>122001.77970917936</v>
      </c>
      <c r="I49" s="11">
        <f>SUMIF(LAC!B:B,B49,LAC!D:D)</f>
        <v>2510.4242958217269</v>
      </c>
      <c r="J49" s="1114">
        <f t="shared" si="2"/>
        <v>2510.4242958217269</v>
      </c>
      <c r="K49" s="11">
        <f>SUMIF(LCHI!B:B,B49,LCHI!D:D)</f>
        <v>0</v>
      </c>
      <c r="L49" s="1114">
        <f t="shared" si="3"/>
        <v>0</v>
      </c>
      <c r="M49" s="11">
        <f>SUMIF(EAL!B:B,B49,EAL!G:G)</f>
        <v>106092.56001046144</v>
      </c>
      <c r="N49" s="1114">
        <f t="shared" si="4"/>
        <v>42494.851769197252</v>
      </c>
      <c r="O49" s="11">
        <f>SUMIF(MOB!B:B,B49,MOB!G:G)</f>
        <v>23633.695999999942</v>
      </c>
      <c r="P49" s="1114">
        <f t="shared" si="5"/>
        <v>23633.695999999942</v>
      </c>
      <c r="Q49" s="1114">
        <f t="shared" si="6"/>
        <v>292632.51249881741</v>
      </c>
      <c r="R49" s="11">
        <v>292632.51249881741</v>
      </c>
      <c r="S49" s="11" t="s">
        <v>1163</v>
      </c>
      <c r="T49" s="11">
        <v>358</v>
      </c>
      <c r="U49" s="11">
        <v>0</v>
      </c>
      <c r="V49" s="11">
        <v>0</v>
      </c>
      <c r="W49" s="1114">
        <f t="shared" si="7"/>
        <v>104883.36518744366</v>
      </c>
      <c r="X49" s="11">
        <v>368288.17577835626</v>
      </c>
      <c r="Y49" s="1114">
        <f t="shared" si="8"/>
        <v>129828.15914914741</v>
      </c>
      <c r="Z49" s="11">
        <v>0</v>
      </c>
      <c r="AA49" s="1114">
        <f t="shared" si="9"/>
        <v>0</v>
      </c>
      <c r="AB49" s="11">
        <v>0</v>
      </c>
      <c r="AC49" s="1114">
        <f t="shared" si="10"/>
        <v>0</v>
      </c>
      <c r="AD49" s="11">
        <v>124937.1347999999</v>
      </c>
      <c r="AE49" s="1114">
        <f t="shared" si="11"/>
        <v>50042.953278445631</v>
      </c>
      <c r="AF49" s="11">
        <v>29032.25599999979</v>
      </c>
      <c r="AG49" s="1114">
        <f t="shared" si="12"/>
        <v>29032.25599999979</v>
      </c>
      <c r="AH49" s="1114">
        <f t="shared" si="13"/>
        <v>313786.73361503653</v>
      </c>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row>
    <row r="50" spans="1:92" x14ac:dyDescent="0.2">
      <c r="A50" s="9" t="s">
        <v>47</v>
      </c>
      <c r="B50" s="10">
        <v>2424</v>
      </c>
      <c r="C50" s="11">
        <f>SUMIF(AWPU!B:B,B50,AWPU!J:J)</f>
        <v>270</v>
      </c>
      <c r="D50" s="11">
        <f>SUMIF(AWPU!B:B,B50,AWPU!K:K)</f>
        <v>0</v>
      </c>
      <c r="E50" s="11">
        <f>SUMIF(AWPU!B:B,B50,AWPU!L:L)</f>
        <v>0</v>
      </c>
      <c r="F50" s="1114">
        <f t="shared" si="0"/>
        <v>82696.022209150644</v>
      </c>
      <c r="G50" s="11">
        <f>SUMIF(DEP!B:B,B50,DEP!O:O)</f>
        <v>253000.35930579228</v>
      </c>
      <c r="H50" s="1114">
        <f t="shared" si="1"/>
        <v>89187.144939759484</v>
      </c>
      <c r="I50" s="11">
        <f>SUMIF(LAC!B:B,B50,LAC!D:D)</f>
        <v>1348.2232804428043</v>
      </c>
      <c r="J50" s="1114">
        <f t="shared" si="2"/>
        <v>1348.2232804428043</v>
      </c>
      <c r="K50" s="11">
        <f>SUMIF(LCHI!B:B,B50,LCHI!D:D)</f>
        <v>0</v>
      </c>
      <c r="L50" s="1114">
        <f t="shared" si="3"/>
        <v>0</v>
      </c>
      <c r="M50" s="11">
        <f>SUMIF(EAL!B:B,B50,EAL!G:G)</f>
        <v>165409.45384090912</v>
      </c>
      <c r="N50" s="1114">
        <f t="shared" si="4"/>
        <v>66253.941101055505</v>
      </c>
      <c r="O50" s="11">
        <f>SUMIF(MOB!B:B,B50,MOB!G:G)</f>
        <v>0</v>
      </c>
      <c r="P50" s="1114">
        <f t="shared" si="5"/>
        <v>0</v>
      </c>
      <c r="Q50" s="1114">
        <f t="shared" si="6"/>
        <v>239485.33153040847</v>
      </c>
      <c r="R50" s="11">
        <v>239485.33153040841</v>
      </c>
      <c r="S50" s="11" t="s">
        <v>1164</v>
      </c>
      <c r="T50" s="11">
        <v>267</v>
      </c>
      <c r="U50" s="11">
        <v>0</v>
      </c>
      <c r="V50" s="11">
        <v>0</v>
      </c>
      <c r="W50" s="1114">
        <f t="shared" si="7"/>
        <v>78223.068449853236</v>
      </c>
      <c r="X50" s="11">
        <v>242804.96490978968</v>
      </c>
      <c r="Y50" s="1114">
        <f t="shared" si="8"/>
        <v>85593.086337592598</v>
      </c>
      <c r="Z50" s="11">
        <v>2676.3619177777778</v>
      </c>
      <c r="AA50" s="1114">
        <f t="shared" si="9"/>
        <v>2676.3619177777778</v>
      </c>
      <c r="AB50" s="11">
        <v>0</v>
      </c>
      <c r="AC50" s="1114">
        <f t="shared" si="10"/>
        <v>0</v>
      </c>
      <c r="AD50" s="11">
        <v>156193.1744440679</v>
      </c>
      <c r="AE50" s="1114">
        <f t="shared" si="11"/>
        <v>62562.40583417481</v>
      </c>
      <c r="AF50" s="11">
        <v>6358.3040000001283</v>
      </c>
      <c r="AG50" s="1114">
        <f t="shared" si="12"/>
        <v>6358.3040000001283</v>
      </c>
      <c r="AH50" s="1114">
        <f t="shared" si="13"/>
        <v>235413.22653939854</v>
      </c>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row>
    <row r="51" spans="1:92" x14ac:dyDescent="0.2">
      <c r="A51" s="9" t="s">
        <v>48</v>
      </c>
      <c r="B51" s="10">
        <v>2439</v>
      </c>
      <c r="C51" s="11">
        <f>SUMIF(AWPU!B:B,B51,AWPU!J:J)</f>
        <v>256</v>
      </c>
      <c r="D51" s="11">
        <f>SUMIF(AWPU!B:B,B51,AWPU!K:K)</f>
        <v>0</v>
      </c>
      <c r="E51" s="11">
        <f>SUMIF(AWPU!B:B,B51,AWPU!L:L)</f>
        <v>0</v>
      </c>
      <c r="F51" s="1114">
        <f t="shared" si="0"/>
        <v>78408.080316824315</v>
      </c>
      <c r="G51" s="11">
        <f>SUMIF(DEP!B:B,B51,DEP!O:O)</f>
        <v>27619.666925379875</v>
      </c>
      <c r="H51" s="1114">
        <f t="shared" si="1"/>
        <v>9736.4258454843239</v>
      </c>
      <c r="I51" s="11">
        <f>SUMIF(LAC!B:B,B51,LAC!D:D)</f>
        <v>0</v>
      </c>
      <c r="J51" s="1114">
        <f t="shared" si="2"/>
        <v>0</v>
      </c>
      <c r="K51" s="11">
        <f>SUMIF(LCHI!B:B,B51,LCHI!D:D)</f>
        <v>0</v>
      </c>
      <c r="L51" s="1114">
        <f t="shared" si="3"/>
        <v>0</v>
      </c>
      <c r="M51" s="11">
        <f>SUMIF(EAL!B:B,B51,EAL!G:G)</f>
        <v>11877.17274216867</v>
      </c>
      <c r="N51" s="1114">
        <f t="shared" si="4"/>
        <v>4757.3429754719755</v>
      </c>
      <c r="O51" s="11">
        <f>SUMIF(MOB!B:B,B51,MOB!G:G)</f>
        <v>0</v>
      </c>
      <c r="P51" s="1114">
        <f t="shared" si="5"/>
        <v>0</v>
      </c>
      <c r="Q51" s="1114">
        <f t="shared" si="6"/>
        <v>92901.849137780606</v>
      </c>
      <c r="R51" s="11">
        <v>92901.84913778062</v>
      </c>
      <c r="S51" s="11" t="s">
        <v>1165</v>
      </c>
      <c r="T51" s="11">
        <v>239</v>
      </c>
      <c r="U51" s="11">
        <v>0</v>
      </c>
      <c r="V51" s="11">
        <v>0</v>
      </c>
      <c r="W51" s="1114">
        <f t="shared" si="7"/>
        <v>70019.900222902332</v>
      </c>
      <c r="X51" s="11">
        <v>21999.354853370274</v>
      </c>
      <c r="Y51" s="1114">
        <f t="shared" si="8"/>
        <v>7755.1654680350321</v>
      </c>
      <c r="Z51" s="11">
        <v>0</v>
      </c>
      <c r="AA51" s="1114">
        <f t="shared" si="9"/>
        <v>0</v>
      </c>
      <c r="AB51" s="11">
        <v>0</v>
      </c>
      <c r="AC51" s="1114">
        <f t="shared" si="10"/>
        <v>0</v>
      </c>
      <c r="AD51" s="11">
        <v>9004.041807547168</v>
      </c>
      <c r="AE51" s="1114">
        <f t="shared" si="11"/>
        <v>3606.524547033669</v>
      </c>
      <c r="AF51" s="11">
        <v>0</v>
      </c>
      <c r="AG51" s="1114">
        <f t="shared" si="12"/>
        <v>0</v>
      </c>
      <c r="AH51" s="1114">
        <f t="shared" si="13"/>
        <v>81381.590237971031</v>
      </c>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row>
    <row r="52" spans="1:92" x14ac:dyDescent="0.2">
      <c r="A52" s="9" t="s">
        <v>49</v>
      </c>
      <c r="B52" s="10">
        <v>2440</v>
      </c>
      <c r="C52" s="11">
        <f>SUMIF(AWPU!B:B,B52,AWPU!J:J)</f>
        <v>326</v>
      </c>
      <c r="D52" s="11">
        <f>SUMIF(AWPU!B:B,B52,AWPU!K:K)</f>
        <v>0</v>
      </c>
      <c r="E52" s="11">
        <f>SUMIF(AWPU!B:B,B52,AWPU!L:L)</f>
        <v>0</v>
      </c>
      <c r="F52" s="1114">
        <f t="shared" si="0"/>
        <v>99847.789778455961</v>
      </c>
      <c r="G52" s="11">
        <f>SUMIF(DEP!B:B,B52,DEP!O:O)</f>
        <v>38811.932544556788</v>
      </c>
      <c r="H52" s="1114">
        <f t="shared" si="1"/>
        <v>13681.899356750459</v>
      </c>
      <c r="I52" s="11">
        <f>SUMIF(LAC!B:B,B52,LAC!D:D)</f>
        <v>0</v>
      </c>
      <c r="J52" s="1114">
        <f t="shared" si="2"/>
        <v>0</v>
      </c>
      <c r="K52" s="11">
        <f>SUMIF(LCHI!B:B,B52,LCHI!D:D)</f>
        <v>0</v>
      </c>
      <c r="L52" s="1114">
        <f t="shared" si="3"/>
        <v>0</v>
      </c>
      <c r="M52" s="11">
        <f>SUMIF(EAL!B:B,B52,EAL!G:G)</f>
        <v>8557.338000000007</v>
      </c>
      <c r="N52" s="1114">
        <f t="shared" si="4"/>
        <v>3427.5995396195694</v>
      </c>
      <c r="O52" s="11">
        <f>SUMIF(MOB!B:B,B52,MOB!G:G)</f>
        <v>0</v>
      </c>
      <c r="P52" s="1114">
        <f t="shared" si="5"/>
        <v>0</v>
      </c>
      <c r="Q52" s="1114">
        <f t="shared" si="6"/>
        <v>116957.28867482599</v>
      </c>
      <c r="R52" s="11">
        <v>116957.28867482599</v>
      </c>
      <c r="S52" s="11" t="s">
        <v>1166</v>
      </c>
      <c r="T52" s="11">
        <v>291</v>
      </c>
      <c r="U52" s="11">
        <v>0</v>
      </c>
      <c r="V52" s="11">
        <v>0</v>
      </c>
      <c r="W52" s="1114">
        <f t="shared" si="7"/>
        <v>85254.355501525424</v>
      </c>
      <c r="X52" s="11">
        <v>35170.203130232629</v>
      </c>
      <c r="Y52" s="1114">
        <f t="shared" si="8"/>
        <v>12398.124701260163</v>
      </c>
      <c r="Z52" s="11">
        <v>0</v>
      </c>
      <c r="AA52" s="1114">
        <f t="shared" si="9"/>
        <v>0</v>
      </c>
      <c r="AB52" s="11">
        <v>0</v>
      </c>
      <c r="AC52" s="1114">
        <f t="shared" si="10"/>
        <v>0</v>
      </c>
      <c r="AD52" s="11">
        <v>2567.201400000009</v>
      </c>
      <c r="AE52" s="1114">
        <f t="shared" si="11"/>
        <v>1028.2798618858735</v>
      </c>
      <c r="AF52" s="11">
        <v>0</v>
      </c>
      <c r="AG52" s="1114">
        <f t="shared" si="12"/>
        <v>0</v>
      </c>
      <c r="AH52" s="1114">
        <f t="shared" si="13"/>
        <v>98680.760064671456</v>
      </c>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row>
    <row r="53" spans="1:92" x14ac:dyDescent="0.2">
      <c r="A53" s="9" t="s">
        <v>102</v>
      </c>
      <c r="B53" s="10">
        <v>2462</v>
      </c>
      <c r="C53" s="11">
        <f>SUMIF(AWPU!B:B,B53,AWPU!J:J)</f>
        <v>238</v>
      </c>
      <c r="D53" s="11">
        <f>SUMIF(AWPU!B:B,B53,AWPU!K:K)</f>
        <v>0</v>
      </c>
      <c r="E53" s="11">
        <f>SUMIF(AWPU!B:B,B53,AWPU!L:L)</f>
        <v>0</v>
      </c>
      <c r="F53" s="1114">
        <f t="shared" si="0"/>
        <v>72895.012169547612</v>
      </c>
      <c r="G53" s="11">
        <f>SUMIF(DEP!B:B,B53,DEP!O:O)</f>
        <v>58629.531357473665</v>
      </c>
      <c r="H53" s="1114">
        <f t="shared" si="1"/>
        <v>20667.956856966655</v>
      </c>
      <c r="I53" s="11">
        <f>SUMIF(LAC!B:B,B53,LAC!D:D)</f>
        <v>0</v>
      </c>
      <c r="J53" s="1114">
        <f t="shared" si="2"/>
        <v>0</v>
      </c>
      <c r="K53" s="11">
        <f>SUMIF(LCHI!B:B,B53,LCHI!D:D)</f>
        <v>0</v>
      </c>
      <c r="L53" s="1114">
        <f t="shared" si="3"/>
        <v>0</v>
      </c>
      <c r="M53" s="11">
        <f>SUMIF(EAL!B:B,B53,EAL!G:G)</f>
        <v>32370.539507284691</v>
      </c>
      <c r="N53" s="1114">
        <f t="shared" si="4"/>
        <v>12965.859980335708</v>
      </c>
      <c r="O53" s="11">
        <f>SUMIF(MOB!B:B,B53,MOB!G:G)</f>
        <v>0</v>
      </c>
      <c r="P53" s="1114">
        <f t="shared" si="5"/>
        <v>0</v>
      </c>
      <c r="Q53" s="1114">
        <f t="shared" si="6"/>
        <v>106528.82900684998</v>
      </c>
      <c r="R53" s="11">
        <v>106528.82900684995</v>
      </c>
      <c r="S53" s="11" t="s">
        <v>1167</v>
      </c>
      <c r="T53" s="11">
        <v>220</v>
      </c>
      <c r="U53" s="11">
        <v>0</v>
      </c>
      <c r="V53" s="11">
        <v>0</v>
      </c>
      <c r="W53" s="1114">
        <f t="shared" si="7"/>
        <v>64453.464640328508</v>
      </c>
      <c r="X53" s="11">
        <v>52560.102225238086</v>
      </c>
      <c r="Y53" s="1114">
        <f t="shared" si="8"/>
        <v>18528.374695093022</v>
      </c>
      <c r="Z53" s="11">
        <v>0</v>
      </c>
      <c r="AA53" s="1114">
        <f t="shared" si="9"/>
        <v>0</v>
      </c>
      <c r="AB53" s="11">
        <v>0</v>
      </c>
      <c r="AC53" s="1114">
        <f t="shared" si="10"/>
        <v>0</v>
      </c>
      <c r="AD53" s="11">
        <v>15296.241674999999</v>
      </c>
      <c r="AE53" s="1114">
        <f t="shared" si="11"/>
        <v>6126.8341770699753</v>
      </c>
      <c r="AF53" s="11">
        <v>0</v>
      </c>
      <c r="AG53" s="1114">
        <f t="shared" si="12"/>
        <v>0</v>
      </c>
      <c r="AH53" s="1114">
        <f t="shared" si="13"/>
        <v>89108.673512491514</v>
      </c>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row>
    <row r="54" spans="1:92" x14ac:dyDescent="0.2">
      <c r="A54" s="9" t="s">
        <v>50</v>
      </c>
      <c r="B54" s="10">
        <v>2463</v>
      </c>
      <c r="C54" s="11">
        <f>SUMIF(AWPU!B:B,B54,AWPU!J:J)</f>
        <v>336</v>
      </c>
      <c r="D54" s="11">
        <f>SUMIF(AWPU!B:B,B54,AWPU!K:K)</f>
        <v>0</v>
      </c>
      <c r="E54" s="11">
        <f>SUMIF(AWPU!B:B,B54,AWPU!L:L)</f>
        <v>0</v>
      </c>
      <c r="F54" s="1114">
        <f t="shared" si="0"/>
        <v>102910.60541583192</v>
      </c>
      <c r="G54" s="11">
        <f>SUMIF(DEP!B:B,B54,DEP!O:O)</f>
        <v>98491.760839346549</v>
      </c>
      <c r="H54" s="1114">
        <f t="shared" si="1"/>
        <v>34720.104641170838</v>
      </c>
      <c r="I54" s="11">
        <f>SUMIF(LAC!B:B,B54,LAC!D:D)</f>
        <v>0</v>
      </c>
      <c r="J54" s="1114">
        <f t="shared" si="2"/>
        <v>0</v>
      </c>
      <c r="K54" s="11">
        <f>SUMIF(LCHI!B:B,B54,LCHI!D:D)</f>
        <v>0</v>
      </c>
      <c r="L54" s="1114">
        <f t="shared" si="3"/>
        <v>0</v>
      </c>
      <c r="M54" s="11">
        <f>SUMIF(EAL!B:B,B54,EAL!G:G)</f>
        <v>22449.520951351355</v>
      </c>
      <c r="N54" s="1114">
        <f t="shared" si="4"/>
        <v>8992.0449183533146</v>
      </c>
      <c r="O54" s="11">
        <f>SUMIF(MOB!B:B,B54,MOB!G:G)</f>
        <v>0</v>
      </c>
      <c r="P54" s="1114">
        <f t="shared" si="5"/>
        <v>0</v>
      </c>
      <c r="Q54" s="1114">
        <f t="shared" si="6"/>
        <v>146622.75497535607</v>
      </c>
      <c r="R54" s="11">
        <v>146622.75497535607</v>
      </c>
      <c r="S54" s="11" t="s">
        <v>1169</v>
      </c>
      <c r="T54" s="11">
        <v>312</v>
      </c>
      <c r="U54" s="11">
        <v>0</v>
      </c>
      <c r="V54" s="11">
        <v>0</v>
      </c>
      <c r="W54" s="1114">
        <f t="shared" si="7"/>
        <v>91406.731671738613</v>
      </c>
      <c r="X54" s="11">
        <v>75177.537815685326</v>
      </c>
      <c r="Y54" s="1114">
        <f t="shared" si="8"/>
        <v>26501.424661131987</v>
      </c>
      <c r="Z54" s="11">
        <v>0</v>
      </c>
      <c r="AA54" s="1114">
        <f t="shared" si="9"/>
        <v>0</v>
      </c>
      <c r="AB54" s="11">
        <v>0</v>
      </c>
      <c r="AC54" s="1114">
        <f t="shared" si="10"/>
        <v>0</v>
      </c>
      <c r="AD54" s="11">
        <v>15403.208400000003</v>
      </c>
      <c r="AE54" s="1114">
        <f t="shared" si="11"/>
        <v>6169.6791713152215</v>
      </c>
      <c r="AF54" s="11">
        <v>0</v>
      </c>
      <c r="AG54" s="1114">
        <f t="shared" si="12"/>
        <v>0</v>
      </c>
      <c r="AH54" s="1114">
        <f t="shared" si="13"/>
        <v>124077.83550418582</v>
      </c>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row>
    <row r="55" spans="1:92" x14ac:dyDescent="0.2">
      <c r="A55" s="9" t="s">
        <v>51</v>
      </c>
      <c r="B55" s="10">
        <v>2505</v>
      </c>
      <c r="C55" s="11">
        <f>SUMIF(AWPU!B:B,B55,AWPU!J:J)</f>
        <v>523</v>
      </c>
      <c r="D55" s="11">
        <f>SUMIF(AWPU!B:B,B55,AWPU!K:K)</f>
        <v>0</v>
      </c>
      <c r="E55" s="11">
        <f>SUMIF(AWPU!B:B,B55,AWPU!L:L)</f>
        <v>0</v>
      </c>
      <c r="F55" s="1114">
        <f t="shared" si="0"/>
        <v>160185.25783476216</v>
      </c>
      <c r="G55" s="11">
        <f>SUMIF(DEP!B:B,B55,DEP!O:O)</f>
        <v>401760.21347964241</v>
      </c>
      <c r="H55" s="1114">
        <f t="shared" si="1"/>
        <v>141627.65020949609</v>
      </c>
      <c r="I55" s="11">
        <f>SUMIF(LAC!B:B,B55,LAC!D:D)</f>
        <v>0</v>
      </c>
      <c r="J55" s="1114">
        <f t="shared" si="2"/>
        <v>0</v>
      </c>
      <c r="K55" s="11">
        <f>SUMIF(LCHI!B:B,B55,LCHI!D:D)</f>
        <v>0</v>
      </c>
      <c r="L55" s="1114">
        <f t="shared" si="3"/>
        <v>0</v>
      </c>
      <c r="M55" s="11">
        <f>SUMIF(EAL!B:B,B55,EAL!G:G)</f>
        <v>87428.133259534734</v>
      </c>
      <c r="N55" s="1114">
        <f t="shared" si="4"/>
        <v>35018.907668503845</v>
      </c>
      <c r="O55" s="11">
        <f>SUMIF(MOB!B:B,B55,MOB!G:G)</f>
        <v>3239.1360000002378</v>
      </c>
      <c r="P55" s="1114">
        <f t="shared" si="5"/>
        <v>3239.1360000002378</v>
      </c>
      <c r="Q55" s="1114">
        <f t="shared" si="6"/>
        <v>340070.95171276235</v>
      </c>
      <c r="R55" s="11">
        <v>340070.95171276241</v>
      </c>
      <c r="S55" s="11" t="s">
        <v>1170</v>
      </c>
      <c r="T55" s="11">
        <v>453</v>
      </c>
      <c r="U55" s="11">
        <v>0</v>
      </c>
      <c r="V55" s="11">
        <v>0</v>
      </c>
      <c r="W55" s="1114">
        <f t="shared" si="7"/>
        <v>132715.54310031279</v>
      </c>
      <c r="X55" s="11">
        <v>332933.39739206852</v>
      </c>
      <c r="Y55" s="1114">
        <f t="shared" si="8"/>
        <v>117364.96837383402</v>
      </c>
      <c r="Z55" s="11">
        <v>0</v>
      </c>
      <c r="AA55" s="1114">
        <f t="shared" si="9"/>
        <v>0</v>
      </c>
      <c r="AB55" s="11">
        <v>0</v>
      </c>
      <c r="AC55" s="1114">
        <f t="shared" si="10"/>
        <v>0</v>
      </c>
      <c r="AD55" s="11">
        <v>67684.468657143007</v>
      </c>
      <c r="AE55" s="1114">
        <f t="shared" si="11"/>
        <v>27110.680168133869</v>
      </c>
      <c r="AF55" s="11">
        <v>839.77600000018083</v>
      </c>
      <c r="AG55" s="1114">
        <f t="shared" si="12"/>
        <v>839.77600000018083</v>
      </c>
      <c r="AH55" s="1114">
        <f t="shared" si="13"/>
        <v>278030.96764228086</v>
      </c>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row>
    <row r="56" spans="1:92" x14ac:dyDescent="0.2">
      <c r="A56" s="9" t="s">
        <v>52</v>
      </c>
      <c r="B56" s="10">
        <v>2000</v>
      </c>
      <c r="C56" s="11">
        <f>SUMIF(AWPU!B:B,B56,AWPU!J:J)</f>
        <v>298</v>
      </c>
      <c r="D56" s="11">
        <f>SUMIF(AWPU!B:B,B56,AWPU!K:K)</f>
        <v>0</v>
      </c>
      <c r="E56" s="11">
        <f>SUMIF(AWPU!B:B,B56,AWPU!L:L)</f>
        <v>0</v>
      </c>
      <c r="F56" s="1114">
        <f t="shared" si="0"/>
        <v>91271.905993803302</v>
      </c>
      <c r="G56" s="11">
        <f>SUMIF(DEP!B:B,B56,DEP!O:O)</f>
        <v>190493.00689970469</v>
      </c>
      <c r="H56" s="1114">
        <f t="shared" si="1"/>
        <v>67152.186909900571</v>
      </c>
      <c r="I56" s="11">
        <f>SUMIF(LAC!B:B,B56,LAC!D:D)</f>
        <v>1313.5458521172638</v>
      </c>
      <c r="J56" s="1114">
        <f t="shared" si="2"/>
        <v>1313.5458521172638</v>
      </c>
      <c r="K56" s="11">
        <f>SUMIF(LCHI!B:B,B56,LCHI!D:D)</f>
        <v>0</v>
      </c>
      <c r="L56" s="1114">
        <f t="shared" si="3"/>
        <v>0</v>
      </c>
      <c r="M56" s="11">
        <f>SUMIF(EAL!B:B,B56,EAL!G:G)</f>
        <v>25595.666002974001</v>
      </c>
      <c r="N56" s="1114">
        <f t="shared" si="4"/>
        <v>10252.217805122327</v>
      </c>
      <c r="O56" s="11">
        <f>SUMIF(MOB!B:B,B56,MOB!G:G)</f>
        <v>11405.056000000162</v>
      </c>
      <c r="P56" s="1114">
        <f t="shared" si="5"/>
        <v>11405.056000000162</v>
      </c>
      <c r="Q56" s="1114">
        <f t="shared" si="6"/>
        <v>181394.91256094363</v>
      </c>
      <c r="R56" s="11">
        <v>181394.91256094363</v>
      </c>
      <c r="S56" s="11" t="s">
        <v>1171</v>
      </c>
      <c r="T56" s="11">
        <v>280</v>
      </c>
      <c r="U56" s="11">
        <v>0</v>
      </c>
      <c r="V56" s="11">
        <v>0</v>
      </c>
      <c r="W56" s="1114">
        <f t="shared" si="7"/>
        <v>82031.682269509009</v>
      </c>
      <c r="X56" s="11">
        <v>183707.71011937343</v>
      </c>
      <c r="Y56" s="1114">
        <f t="shared" si="8"/>
        <v>64760.248617531382</v>
      </c>
      <c r="Z56" s="11">
        <v>1288.7778095238093</v>
      </c>
      <c r="AA56" s="1114">
        <f t="shared" si="9"/>
        <v>1288.7778095238093</v>
      </c>
      <c r="AB56" s="11">
        <v>0</v>
      </c>
      <c r="AC56" s="1114">
        <f t="shared" si="10"/>
        <v>0</v>
      </c>
      <c r="AD56" s="11">
        <v>16336.736181818187</v>
      </c>
      <c r="AE56" s="1114">
        <f t="shared" si="11"/>
        <v>6543.5991210919019</v>
      </c>
      <c r="AF56" s="11">
        <v>14709.801830065486</v>
      </c>
      <c r="AG56" s="1114">
        <f t="shared" si="12"/>
        <v>14709.801830065486</v>
      </c>
      <c r="AH56" s="1114">
        <f t="shared" si="13"/>
        <v>169334.10964772158</v>
      </c>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row>
    <row r="57" spans="1:92" x14ac:dyDescent="0.2">
      <c r="A57" s="9" t="s">
        <v>53</v>
      </c>
      <c r="B57" s="10">
        <v>2458</v>
      </c>
      <c r="C57" s="11">
        <f>SUMIF(AWPU!B:B,B57,AWPU!J:J)</f>
        <v>270</v>
      </c>
      <c r="D57" s="11">
        <f>SUMIF(AWPU!B:B,B57,AWPU!K:K)</f>
        <v>0</v>
      </c>
      <c r="E57" s="11">
        <f>SUMIF(AWPU!B:B,B57,AWPU!L:L)</f>
        <v>0</v>
      </c>
      <c r="F57" s="1114">
        <f t="shared" si="0"/>
        <v>82696.022209150644</v>
      </c>
      <c r="G57" s="11">
        <f>SUMIF(DEP!B:B,B57,DEP!O:O)</f>
        <v>68747.653346891835</v>
      </c>
      <c r="H57" s="1114">
        <f t="shared" si="1"/>
        <v>24234.775555819571</v>
      </c>
      <c r="I57" s="11">
        <f>SUMIF(LAC!B:B,B57,LAC!D:D)</f>
        <v>0</v>
      </c>
      <c r="J57" s="1114">
        <f t="shared" si="2"/>
        <v>0</v>
      </c>
      <c r="K57" s="11">
        <f>SUMIF(LCHI!B:B,B57,LCHI!D:D)</f>
        <v>0</v>
      </c>
      <c r="L57" s="1114">
        <f t="shared" si="3"/>
        <v>0</v>
      </c>
      <c r="M57" s="11">
        <f>SUMIF(EAL!B:B,B57,EAL!G:G)</f>
        <v>92419.25039999999</v>
      </c>
      <c r="N57" s="1114">
        <f t="shared" si="4"/>
        <v>37018.075027891318</v>
      </c>
      <c r="O57" s="11">
        <f>SUMIF(MOB!B:B,B57,MOB!G:G)</f>
        <v>0</v>
      </c>
      <c r="P57" s="1114">
        <f t="shared" si="5"/>
        <v>0</v>
      </c>
      <c r="Q57" s="1114">
        <f t="shared" si="6"/>
        <v>143948.87279286154</v>
      </c>
      <c r="R57" s="11">
        <v>143948.87279286154</v>
      </c>
      <c r="S57" s="11" t="s">
        <v>1173</v>
      </c>
      <c r="T57" s="11">
        <v>270</v>
      </c>
      <c r="U57" s="11">
        <v>0</v>
      </c>
      <c r="V57" s="11">
        <v>0</v>
      </c>
      <c r="W57" s="1114">
        <f t="shared" si="7"/>
        <v>79101.97933131225</v>
      </c>
      <c r="X57" s="11">
        <v>81433.246927797154</v>
      </c>
      <c r="Y57" s="1114">
        <f t="shared" si="8"/>
        <v>28706.673842650118</v>
      </c>
      <c r="Z57" s="11">
        <v>1363.3153320895522</v>
      </c>
      <c r="AA57" s="1114">
        <f t="shared" si="9"/>
        <v>1363.3153320895522</v>
      </c>
      <c r="AB57" s="11">
        <v>0</v>
      </c>
      <c r="AC57" s="1114">
        <f t="shared" si="10"/>
        <v>0</v>
      </c>
      <c r="AD57" s="11">
        <v>103971.65669999999</v>
      </c>
      <c r="AE57" s="1114">
        <f t="shared" si="11"/>
        <v>41645.334406377733</v>
      </c>
      <c r="AF57" s="11">
        <v>0</v>
      </c>
      <c r="AG57" s="1114">
        <f t="shared" si="12"/>
        <v>0</v>
      </c>
      <c r="AH57" s="1114">
        <f t="shared" si="13"/>
        <v>150817.30291242967</v>
      </c>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row>
    <row r="58" spans="1:92" x14ac:dyDescent="0.2">
      <c r="A58" s="9" t="s">
        <v>54</v>
      </c>
      <c r="B58" s="10">
        <v>2001</v>
      </c>
      <c r="C58" s="11">
        <f>SUMIF(AWPU!B:B,B58,AWPU!J:J)</f>
        <v>353</v>
      </c>
      <c r="D58" s="11">
        <f>SUMIF(AWPU!B:B,B58,AWPU!K:K)</f>
        <v>0</v>
      </c>
      <c r="E58" s="11">
        <f>SUMIF(AWPU!B:B,B58,AWPU!L:L)</f>
        <v>0</v>
      </c>
      <c r="F58" s="1114">
        <f t="shared" si="0"/>
        <v>108117.39199937103</v>
      </c>
      <c r="G58" s="11">
        <f>SUMIF(DEP!B:B,B58,DEP!O:O)</f>
        <v>417029.94610019086</v>
      </c>
      <c r="H58" s="1114">
        <f t="shared" si="1"/>
        <v>147010.50365743999</v>
      </c>
      <c r="I58" s="11">
        <f>SUMIF(LAC!B:B,B58,LAC!D:D)</f>
        <v>4202.5116870967749</v>
      </c>
      <c r="J58" s="1114">
        <f t="shared" si="2"/>
        <v>4202.5116870967749</v>
      </c>
      <c r="K58" s="11">
        <f>SUMIF(LCHI!B:B,B58,LCHI!D:D)</f>
        <v>0</v>
      </c>
      <c r="L58" s="1114">
        <f t="shared" si="3"/>
        <v>0</v>
      </c>
      <c r="M58" s="11">
        <f>SUMIF(EAL!B:B,B58,EAL!G:G)</f>
        <v>17646.936542268042</v>
      </c>
      <c r="N58" s="1114">
        <f t="shared" si="4"/>
        <v>7068.393414864956</v>
      </c>
      <c r="O58" s="11">
        <f>SUMIF(MOB!B:B,B58,MOB!G:G)</f>
        <v>11636.895999999786</v>
      </c>
      <c r="P58" s="1114">
        <f t="shared" si="5"/>
        <v>11636.895999999786</v>
      </c>
      <c r="Q58" s="1114">
        <f t="shared" si="6"/>
        <v>278035.69675877254</v>
      </c>
      <c r="R58" s="11">
        <v>278035.69675877248</v>
      </c>
      <c r="S58" s="11" t="s">
        <v>1176</v>
      </c>
      <c r="T58" s="11">
        <v>331</v>
      </c>
      <c r="U58" s="11">
        <v>0</v>
      </c>
      <c r="V58" s="11">
        <v>0</v>
      </c>
      <c r="W58" s="1114">
        <f t="shared" si="7"/>
        <v>96973.16725431243</v>
      </c>
      <c r="X58" s="11">
        <v>403228.07755342504</v>
      </c>
      <c r="Y58" s="1114">
        <f t="shared" si="8"/>
        <v>142145.09850980496</v>
      </c>
      <c r="Z58" s="11">
        <v>4362.8057892857141</v>
      </c>
      <c r="AA58" s="1114">
        <f t="shared" si="9"/>
        <v>4362.8057892857141</v>
      </c>
      <c r="AB58" s="11">
        <v>0</v>
      </c>
      <c r="AC58" s="1114">
        <f t="shared" si="10"/>
        <v>0</v>
      </c>
      <c r="AD58" s="11">
        <v>20159.992014234878</v>
      </c>
      <c r="AE58" s="1114">
        <f t="shared" si="11"/>
        <v>8074.985392271009</v>
      </c>
      <c r="AF58" s="11">
        <v>5878.4320000001971</v>
      </c>
      <c r="AG58" s="1114">
        <f t="shared" si="12"/>
        <v>5878.4320000001971</v>
      </c>
      <c r="AH58" s="1114">
        <f t="shared" si="13"/>
        <v>257434.4889456743</v>
      </c>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row>
    <row r="59" spans="1:92" x14ac:dyDescent="0.2">
      <c r="A59" s="9" t="s">
        <v>55</v>
      </c>
      <c r="B59" s="10">
        <v>2429</v>
      </c>
      <c r="C59" s="11">
        <f>SUMIF(AWPU!B:B,B59,AWPU!J:J)</f>
        <v>150</v>
      </c>
      <c r="D59" s="11">
        <f>SUMIF(AWPU!B:B,B59,AWPU!K:K)</f>
        <v>0</v>
      </c>
      <c r="E59" s="11">
        <f>SUMIF(AWPU!B:B,B59,AWPU!L:L)</f>
        <v>0</v>
      </c>
      <c r="F59" s="1114">
        <f t="shared" si="0"/>
        <v>45942.234560639248</v>
      </c>
      <c r="G59" s="11">
        <f>SUMIF(DEP!B:B,B59,DEP!O:O)</f>
        <v>122515.03263151422</v>
      </c>
      <c r="H59" s="1114">
        <f t="shared" si="1"/>
        <v>43188.736974872983</v>
      </c>
      <c r="I59" s="11">
        <f>SUMIF(LAC!B:B,B59,LAC!D:D)</f>
        <v>2688.5099999999998</v>
      </c>
      <c r="J59" s="1114">
        <f t="shared" si="2"/>
        <v>2688.5099999999998</v>
      </c>
      <c r="K59" s="11">
        <f>SUMIF(LCHI!B:B,B59,LCHI!D:D)</f>
        <v>0</v>
      </c>
      <c r="L59" s="1114">
        <f t="shared" si="3"/>
        <v>0</v>
      </c>
      <c r="M59" s="11">
        <f>SUMIF(EAL!B:B,B59,EAL!G:G)</f>
        <v>84236.295937499992</v>
      </c>
      <c r="N59" s="1114">
        <f t="shared" si="4"/>
        <v>33740.43296813011</v>
      </c>
      <c r="O59" s="11">
        <f>SUMIF(MOB!B:B,B59,MOB!G:G)</f>
        <v>0</v>
      </c>
      <c r="P59" s="1114">
        <f t="shared" si="5"/>
        <v>0</v>
      </c>
      <c r="Q59" s="1114">
        <f t="shared" si="6"/>
        <v>125559.91450364234</v>
      </c>
      <c r="R59" s="11">
        <v>125559.91450364233</v>
      </c>
      <c r="S59" s="11" t="s">
        <v>1177</v>
      </c>
      <c r="T59" s="11">
        <v>155</v>
      </c>
      <c r="U59" s="11">
        <v>0</v>
      </c>
      <c r="V59" s="11">
        <v>0</v>
      </c>
      <c r="W59" s="1114">
        <f t="shared" si="7"/>
        <v>45410.395542049628</v>
      </c>
      <c r="X59" s="11">
        <v>121825.80340032063</v>
      </c>
      <c r="Y59" s="1114">
        <f t="shared" si="8"/>
        <v>42945.771362065752</v>
      </c>
      <c r="Z59" s="11">
        <v>2796.6478466666667</v>
      </c>
      <c r="AA59" s="1114">
        <f t="shared" si="9"/>
        <v>2796.6478466666667</v>
      </c>
      <c r="AB59" s="11">
        <v>0</v>
      </c>
      <c r="AC59" s="1114">
        <f t="shared" si="10"/>
        <v>0</v>
      </c>
      <c r="AD59" s="11">
        <v>101058.08685714286</v>
      </c>
      <c r="AE59" s="1114">
        <f t="shared" si="11"/>
        <v>40478.318372650123</v>
      </c>
      <c r="AF59" s="11">
        <v>0</v>
      </c>
      <c r="AG59" s="1114">
        <f t="shared" si="12"/>
        <v>0</v>
      </c>
      <c r="AH59" s="1114">
        <f t="shared" si="13"/>
        <v>131631.13312343217</v>
      </c>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x14ac:dyDescent="0.2">
      <c r="A60" s="9" t="s">
        <v>56</v>
      </c>
      <c r="B60" s="10">
        <v>2444</v>
      </c>
      <c r="C60" s="11">
        <f>SUMIF(AWPU!B:B,B60,AWPU!J:J)</f>
        <v>208</v>
      </c>
      <c r="D60" s="11">
        <f>SUMIF(AWPU!B:B,B60,AWPU!K:K)</f>
        <v>0</v>
      </c>
      <c r="E60" s="11">
        <f>SUMIF(AWPU!B:B,B60,AWPU!L:L)</f>
        <v>0</v>
      </c>
      <c r="F60" s="1114">
        <f t="shared" si="0"/>
        <v>63706.565257419759</v>
      </c>
      <c r="G60" s="11">
        <f>SUMIF(DEP!B:B,B60,DEP!O:O)</f>
        <v>121323.92665087717</v>
      </c>
      <c r="H60" s="1114">
        <f t="shared" si="1"/>
        <v>42768.850844967164</v>
      </c>
      <c r="I60" s="11">
        <f>SUMIF(LAC!B:B,B60,LAC!D:D)</f>
        <v>0</v>
      </c>
      <c r="J60" s="1114">
        <f t="shared" si="2"/>
        <v>0</v>
      </c>
      <c r="K60" s="11">
        <f>SUMIF(LCHI!B:B,B60,LCHI!D:D)</f>
        <v>0</v>
      </c>
      <c r="L60" s="1114">
        <f t="shared" si="3"/>
        <v>0</v>
      </c>
      <c r="M60" s="11">
        <f>SUMIF(EAL!B:B,B60,EAL!G:G)</f>
        <v>29665.438400000057</v>
      </c>
      <c r="N60" s="1114">
        <f t="shared" si="4"/>
        <v>11882.345070681187</v>
      </c>
      <c r="O60" s="11">
        <f>SUMIF(MOB!B:B,B60,MOB!G:G)</f>
        <v>0</v>
      </c>
      <c r="P60" s="1114">
        <f t="shared" si="5"/>
        <v>0</v>
      </c>
      <c r="Q60" s="1114">
        <f t="shared" si="6"/>
        <v>118357.76117306811</v>
      </c>
      <c r="R60" s="11">
        <v>118357.76117306811</v>
      </c>
      <c r="S60" s="11" t="s">
        <v>1178</v>
      </c>
      <c r="T60" s="11">
        <v>209</v>
      </c>
      <c r="U60" s="11">
        <v>0</v>
      </c>
      <c r="V60" s="11">
        <v>0</v>
      </c>
      <c r="W60" s="1114">
        <f t="shared" si="7"/>
        <v>61230.791408312078</v>
      </c>
      <c r="X60" s="11">
        <v>126274.07820974986</v>
      </c>
      <c r="Y60" s="1114">
        <f t="shared" si="8"/>
        <v>44513.867673268753</v>
      </c>
      <c r="Z60" s="11">
        <v>1359.7225495192306</v>
      </c>
      <c r="AA60" s="1114">
        <f t="shared" si="9"/>
        <v>1359.7225495192306</v>
      </c>
      <c r="AB60" s="11">
        <v>0</v>
      </c>
      <c r="AC60" s="1114">
        <f t="shared" si="10"/>
        <v>0</v>
      </c>
      <c r="AD60" s="11">
        <v>11497.394841428571</v>
      </c>
      <c r="AE60" s="1114">
        <f t="shared" si="11"/>
        <v>4605.224810017432</v>
      </c>
      <c r="AF60" s="11">
        <v>0</v>
      </c>
      <c r="AG60" s="1114">
        <f t="shared" si="12"/>
        <v>0</v>
      </c>
      <c r="AH60" s="1114">
        <f t="shared" si="13"/>
        <v>111709.6064411175</v>
      </c>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row>
    <row r="61" spans="1:92" x14ac:dyDescent="0.2">
      <c r="A61" s="9" t="s">
        <v>57</v>
      </c>
      <c r="B61" s="10">
        <v>5209</v>
      </c>
      <c r="C61" s="11">
        <f>SUMIF(AWPU!B:B,B61,AWPU!J:J)</f>
        <v>274</v>
      </c>
      <c r="D61" s="11">
        <f>SUMIF(AWPU!B:B,B61,AWPU!K:K)</f>
        <v>0</v>
      </c>
      <c r="E61" s="11">
        <f>SUMIF(AWPU!B:B,B61,AWPU!L:L)</f>
        <v>0</v>
      </c>
      <c r="F61" s="1114">
        <f t="shared" si="0"/>
        <v>83921.148464101017</v>
      </c>
      <c r="G61" s="11">
        <f>SUMIF(DEP!B:B,B61,DEP!O:O)</f>
        <v>195781.8693357498</v>
      </c>
      <c r="H61" s="1114">
        <f t="shared" si="1"/>
        <v>69016.60537137746</v>
      </c>
      <c r="I61" s="11">
        <f>SUMIF(LAC!B:B,B61,LAC!D:D)</f>
        <v>0</v>
      </c>
      <c r="J61" s="1114">
        <f t="shared" si="2"/>
        <v>0</v>
      </c>
      <c r="K61" s="11">
        <f>SUMIF(LCHI!B:B,B61,LCHI!D:D)</f>
        <v>0</v>
      </c>
      <c r="L61" s="1114">
        <f t="shared" si="3"/>
        <v>0</v>
      </c>
      <c r="M61" s="11">
        <f>SUMIF(EAL!B:B,B61,EAL!G:G)</f>
        <v>10382.482414760138</v>
      </c>
      <c r="N61" s="1114">
        <f t="shared" si="4"/>
        <v>4158.652135154658</v>
      </c>
      <c r="O61" s="11">
        <f>SUMIF(MOB!B:B,B61,MOB!G:G)</f>
        <v>0</v>
      </c>
      <c r="P61" s="1114">
        <f t="shared" si="5"/>
        <v>0</v>
      </c>
      <c r="Q61" s="1114">
        <f t="shared" si="6"/>
        <v>157096.40597063315</v>
      </c>
      <c r="R61" s="11">
        <v>157096.40597063318</v>
      </c>
      <c r="S61" s="11" t="s">
        <v>1179</v>
      </c>
      <c r="T61" s="11">
        <v>270</v>
      </c>
      <c r="U61" s="11">
        <v>0</v>
      </c>
      <c r="V61" s="11">
        <v>0</v>
      </c>
      <c r="W61" s="1114">
        <f t="shared" si="7"/>
        <v>79101.97933131225</v>
      </c>
      <c r="X61" s="11">
        <v>202247.26906896688</v>
      </c>
      <c r="Y61" s="1114">
        <f t="shared" si="8"/>
        <v>71295.774241659426</v>
      </c>
      <c r="Z61" s="11">
        <v>0</v>
      </c>
      <c r="AA61" s="1114">
        <f t="shared" si="9"/>
        <v>0</v>
      </c>
      <c r="AB61" s="11">
        <v>0</v>
      </c>
      <c r="AC61" s="1114">
        <f t="shared" si="10"/>
        <v>0</v>
      </c>
      <c r="AD61" s="11">
        <v>5990.1365999999935</v>
      </c>
      <c r="AE61" s="1114">
        <f t="shared" si="11"/>
        <v>2399.3196777336939</v>
      </c>
      <c r="AF61" s="11">
        <v>0</v>
      </c>
      <c r="AG61" s="1114">
        <f t="shared" si="12"/>
        <v>0</v>
      </c>
      <c r="AH61" s="1114">
        <f t="shared" si="13"/>
        <v>152797.07325070538</v>
      </c>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row>
    <row r="62" spans="1:92" x14ac:dyDescent="0.2">
      <c r="A62" s="9" t="s">
        <v>58</v>
      </c>
      <c r="B62" s="10">
        <v>2469</v>
      </c>
      <c r="C62" s="11">
        <f>SUMIF(AWPU!B:B,B62,AWPU!J:J)</f>
        <v>411</v>
      </c>
      <c r="D62" s="11">
        <f>SUMIF(AWPU!B:B,B62,AWPU!K:K)</f>
        <v>0</v>
      </c>
      <c r="E62" s="11">
        <f>SUMIF(AWPU!B:B,B62,AWPU!L:L)</f>
        <v>0</v>
      </c>
      <c r="F62" s="1114">
        <f t="shared" si="0"/>
        <v>125881.72269615154</v>
      </c>
      <c r="G62" s="11">
        <f>SUMIF(DEP!B:B,B62,DEP!O:O)</f>
        <v>84578.740017580625</v>
      </c>
      <c r="H62" s="1114">
        <f t="shared" si="1"/>
        <v>29815.516331551309</v>
      </c>
      <c r="I62" s="11">
        <f>SUMIF(LAC!B:B,B62,LAC!D:D)</f>
        <v>0</v>
      </c>
      <c r="J62" s="1114">
        <f t="shared" si="2"/>
        <v>0</v>
      </c>
      <c r="K62" s="11">
        <f>SUMIF(LCHI!B:B,B62,LCHI!D:D)</f>
        <v>0</v>
      </c>
      <c r="L62" s="1114">
        <f t="shared" si="3"/>
        <v>0</v>
      </c>
      <c r="M62" s="11">
        <f>SUMIF(EAL!B:B,B62,EAL!G:G)</f>
        <v>34068.444789743604</v>
      </c>
      <c r="N62" s="1114">
        <f t="shared" si="4"/>
        <v>13645.9475688444</v>
      </c>
      <c r="O62" s="11">
        <f>SUMIF(MOB!B:B,B62,MOB!G:G)</f>
        <v>0</v>
      </c>
      <c r="P62" s="1114">
        <f t="shared" si="5"/>
        <v>0</v>
      </c>
      <c r="Q62" s="1114">
        <f t="shared" si="6"/>
        <v>169343.18659654725</v>
      </c>
      <c r="R62" s="11">
        <v>169343.18659654722</v>
      </c>
      <c r="S62" s="11" t="s">
        <v>1180</v>
      </c>
      <c r="T62" s="11">
        <v>412</v>
      </c>
      <c r="U62" s="11">
        <v>0</v>
      </c>
      <c r="V62" s="11">
        <v>0</v>
      </c>
      <c r="W62" s="1114">
        <f t="shared" si="7"/>
        <v>120703.76105370611</v>
      </c>
      <c r="X62" s="11">
        <v>79533.617922815829</v>
      </c>
      <c r="Y62" s="1114">
        <f t="shared" si="8"/>
        <v>28037.02069328733</v>
      </c>
      <c r="Z62" s="11">
        <v>1404.3457944584384</v>
      </c>
      <c r="AA62" s="1114">
        <f t="shared" si="9"/>
        <v>1404.3457944584384</v>
      </c>
      <c r="AB62" s="11">
        <v>0</v>
      </c>
      <c r="AC62" s="1114">
        <f t="shared" si="10"/>
        <v>0</v>
      </c>
      <c r="AD62" s="11">
        <v>30961.564004532578</v>
      </c>
      <c r="AE62" s="1114">
        <f t="shared" si="11"/>
        <v>12401.501790374252</v>
      </c>
      <c r="AF62" s="11">
        <v>27352.704000000143</v>
      </c>
      <c r="AG62" s="1114">
        <f t="shared" si="12"/>
        <v>27352.704000000143</v>
      </c>
      <c r="AH62" s="1114">
        <f t="shared" si="13"/>
        <v>189899.33333182626</v>
      </c>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row>
    <row r="63" spans="1:92" x14ac:dyDescent="0.2">
      <c r="A63" s="9" t="s">
        <v>455</v>
      </c>
      <c r="B63" s="10">
        <v>2430</v>
      </c>
      <c r="C63" s="11">
        <f>SUMIF(AWPU!B:B,B63,AWPU!J:J)</f>
        <v>120</v>
      </c>
      <c r="D63" s="11">
        <f>SUMIF(AWPU!B:B,B63,AWPU!K:K)</f>
        <v>0</v>
      </c>
      <c r="E63" s="11">
        <f>SUMIF(AWPU!B:B,B63,AWPU!L:L)</f>
        <v>0</v>
      </c>
      <c r="F63" s="1114">
        <f t="shared" si="0"/>
        <v>36753.787648511396</v>
      </c>
      <c r="G63" s="11">
        <f>SUMIF(DEP!B:B,B63,DEP!O:O)</f>
        <v>143834.51960452116</v>
      </c>
      <c r="H63" s="1114">
        <f t="shared" si="1"/>
        <v>50704.236873451002</v>
      </c>
      <c r="I63" s="11">
        <f>SUMIF(LAC!B:B,B63,LAC!D:D)</f>
        <v>0</v>
      </c>
      <c r="J63" s="1114">
        <f t="shared" si="2"/>
        <v>0</v>
      </c>
      <c r="K63" s="11">
        <f>SUMIF(LCHI!B:B,B63,LCHI!D:D)</f>
        <v>0</v>
      </c>
      <c r="L63" s="1114">
        <f t="shared" si="3"/>
        <v>0</v>
      </c>
      <c r="M63" s="11">
        <f>SUMIF(EAL!B:B,B63,EAL!G:G)</f>
        <v>27524.633567010304</v>
      </c>
      <c r="N63" s="1114">
        <f t="shared" si="4"/>
        <v>11024.85625114747</v>
      </c>
      <c r="O63" s="11">
        <f>SUMIF(MOB!B:B,B63,MOB!G:G)</f>
        <v>16795.520000000051</v>
      </c>
      <c r="P63" s="1114">
        <f t="shared" si="5"/>
        <v>16795.520000000051</v>
      </c>
      <c r="Q63" s="1114">
        <f t="shared" si="6"/>
        <v>115278.40077310991</v>
      </c>
      <c r="R63" s="11">
        <v>115278.40077310993</v>
      </c>
      <c r="S63" s="11" t="s">
        <v>1181</v>
      </c>
      <c r="T63" s="11">
        <v>113</v>
      </c>
      <c r="U63" s="11">
        <v>0</v>
      </c>
      <c r="V63" s="11">
        <v>0</v>
      </c>
      <c r="W63" s="1114">
        <f t="shared" si="7"/>
        <v>33105.643201623279</v>
      </c>
      <c r="X63" s="11">
        <v>143364.03266487946</v>
      </c>
      <c r="Y63" s="1114">
        <f t="shared" si="8"/>
        <v>50538.381824892072</v>
      </c>
      <c r="Z63" s="11">
        <v>0</v>
      </c>
      <c r="AA63" s="1114">
        <f t="shared" si="9"/>
        <v>0</v>
      </c>
      <c r="AB63" s="11">
        <v>0</v>
      </c>
      <c r="AC63" s="1114">
        <f t="shared" si="10"/>
        <v>0</v>
      </c>
      <c r="AD63" s="11">
        <v>28073.589503225772</v>
      </c>
      <c r="AE63" s="1114">
        <f t="shared" si="11"/>
        <v>11244.737844493855</v>
      </c>
      <c r="AF63" s="11">
        <v>3239.136000000065</v>
      </c>
      <c r="AG63" s="1114">
        <f t="shared" si="12"/>
        <v>3239.136000000065</v>
      </c>
      <c r="AH63" s="1114">
        <f t="shared" si="13"/>
        <v>98127.898871009267</v>
      </c>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row>
    <row r="64" spans="1:92" x14ac:dyDescent="0.2">
      <c r="A64" s="9" t="s">
        <v>59</v>
      </c>
      <c r="B64" s="10">
        <v>2466</v>
      </c>
      <c r="C64" s="11">
        <f>SUMIF(AWPU!B:B,B64,AWPU!J:J)</f>
        <v>197</v>
      </c>
      <c r="D64" s="11">
        <f>SUMIF(AWPU!B:B,B64,AWPU!K:K)</f>
        <v>0</v>
      </c>
      <c r="E64" s="11">
        <f>SUMIF(AWPU!B:B,B64,AWPU!L:L)</f>
        <v>0</v>
      </c>
      <c r="F64" s="1114">
        <f t="shared" si="0"/>
        <v>60337.468056306214</v>
      </c>
      <c r="G64" s="11">
        <f>SUMIF(DEP!B:B,B64,DEP!O:O)</f>
        <v>89930.290130968817</v>
      </c>
      <c r="H64" s="1114">
        <f t="shared" si="1"/>
        <v>31702.033318818732</v>
      </c>
      <c r="I64" s="11">
        <f>SUMIF(LAC!B:B,B64,LAC!D:D)</f>
        <v>0</v>
      </c>
      <c r="J64" s="1114">
        <f t="shared" si="2"/>
        <v>0</v>
      </c>
      <c r="K64" s="11">
        <f>SUMIF(LCHI!B:B,B64,LCHI!D:D)</f>
        <v>0</v>
      </c>
      <c r="L64" s="1114">
        <f t="shared" si="3"/>
        <v>0</v>
      </c>
      <c r="M64" s="11">
        <f>SUMIF(EAL!B:B,B64,EAL!G:G)</f>
        <v>2923.3449468208014</v>
      </c>
      <c r="N64" s="1114">
        <f t="shared" si="4"/>
        <v>1170.9314034191668</v>
      </c>
      <c r="O64" s="11">
        <f>SUMIF(MOB!B:B,B64,MOB!G:G)</f>
        <v>32856.601756097458</v>
      </c>
      <c r="P64" s="1114">
        <f t="shared" si="5"/>
        <v>32856.601756097458</v>
      </c>
      <c r="Q64" s="1114">
        <f t="shared" si="6"/>
        <v>126067.03453464157</v>
      </c>
      <c r="R64" s="11">
        <v>126067.03453464157</v>
      </c>
      <c r="S64" s="11" t="s">
        <v>1182</v>
      </c>
      <c r="T64" s="11">
        <v>164</v>
      </c>
      <c r="U64" s="11">
        <v>0</v>
      </c>
      <c r="V64" s="11">
        <v>0</v>
      </c>
      <c r="W64" s="1114">
        <f t="shared" si="7"/>
        <v>48047.1281864267</v>
      </c>
      <c r="X64" s="11">
        <v>76052.591240911162</v>
      </c>
      <c r="Y64" s="1114">
        <f t="shared" si="8"/>
        <v>26809.896620933912</v>
      </c>
      <c r="Z64" s="11">
        <v>2673.8257686746988</v>
      </c>
      <c r="AA64" s="1114">
        <f t="shared" si="9"/>
        <v>2673.8257686746988</v>
      </c>
      <c r="AB64" s="11">
        <v>0</v>
      </c>
      <c r="AC64" s="1114">
        <f t="shared" si="10"/>
        <v>0</v>
      </c>
      <c r="AD64" s="11">
        <v>5651.288987919459</v>
      </c>
      <c r="AE64" s="1114">
        <f t="shared" si="11"/>
        <v>2263.5959375742627</v>
      </c>
      <c r="AF64" s="11">
        <v>17360.075294117636</v>
      </c>
      <c r="AG64" s="1114">
        <f t="shared" si="12"/>
        <v>17360.075294117636</v>
      </c>
      <c r="AH64" s="1114">
        <f t="shared" si="13"/>
        <v>97154.5218077272</v>
      </c>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row>
    <row r="65" spans="1:92" x14ac:dyDescent="0.2">
      <c r="A65" s="9" t="s">
        <v>60</v>
      </c>
      <c r="B65" s="10">
        <v>3543</v>
      </c>
      <c r="C65" s="11">
        <f>SUMIF(AWPU!B:B,B65,AWPU!J:J)</f>
        <v>301</v>
      </c>
      <c r="D65" s="11">
        <f>SUMIF(AWPU!B:B,B65,AWPU!K:K)</f>
        <v>0</v>
      </c>
      <c r="E65" s="11">
        <f>SUMIF(AWPU!B:B,B65,AWPU!L:L)</f>
        <v>0</v>
      </c>
      <c r="F65" s="1114">
        <f t="shared" si="0"/>
        <v>92190.750685016086</v>
      </c>
      <c r="G65" s="11">
        <f>SUMIF(DEP!B:B,B65,DEP!O:O)</f>
        <v>123594.98125837796</v>
      </c>
      <c r="H65" s="1114">
        <f t="shared" si="1"/>
        <v>43569.438152436036</v>
      </c>
      <c r="I65" s="11">
        <f>SUMIF(LAC!B:B,B65,LAC!D:D)</f>
        <v>2761.4795030508471</v>
      </c>
      <c r="J65" s="1114">
        <f t="shared" si="2"/>
        <v>2761.4795030508471</v>
      </c>
      <c r="K65" s="11">
        <f>SUMIF(LCHI!B:B,B65,LCHI!D:D)</f>
        <v>0</v>
      </c>
      <c r="L65" s="1114">
        <f t="shared" si="3"/>
        <v>0</v>
      </c>
      <c r="M65" s="11">
        <f>SUMIF(EAL!B:B,B65,EAL!G:G)</f>
        <v>19191.927851764696</v>
      </c>
      <c r="N65" s="1114">
        <f t="shared" si="4"/>
        <v>7687.2320655232515</v>
      </c>
      <c r="O65" s="11">
        <f>SUMIF(MOB!B:B,B65,MOB!G:G)</f>
        <v>0</v>
      </c>
      <c r="P65" s="1114">
        <f t="shared" si="5"/>
        <v>0</v>
      </c>
      <c r="Q65" s="1114">
        <f t="shared" si="6"/>
        <v>146208.90040602622</v>
      </c>
      <c r="R65" s="11">
        <v>146208.90040602622</v>
      </c>
      <c r="S65" s="11" t="s">
        <v>1183</v>
      </c>
      <c r="T65" s="11">
        <v>293</v>
      </c>
      <c r="U65" s="11">
        <v>0</v>
      </c>
      <c r="V65" s="11">
        <v>0</v>
      </c>
      <c r="W65" s="1114">
        <f t="shared" si="7"/>
        <v>85840.296089164782</v>
      </c>
      <c r="X65" s="11">
        <v>119626.39372590552</v>
      </c>
      <c r="Y65" s="1114">
        <f t="shared" si="8"/>
        <v>42170.440173002578</v>
      </c>
      <c r="Z65" s="11">
        <v>0</v>
      </c>
      <c r="AA65" s="1114">
        <f t="shared" si="9"/>
        <v>0</v>
      </c>
      <c r="AB65" s="11">
        <v>0</v>
      </c>
      <c r="AC65" s="1114">
        <f t="shared" si="10"/>
        <v>0</v>
      </c>
      <c r="AD65" s="11">
        <v>22242.177720967731</v>
      </c>
      <c r="AE65" s="1114">
        <f t="shared" si="11"/>
        <v>8908.9946098337568</v>
      </c>
      <c r="AF65" s="11">
        <v>0</v>
      </c>
      <c r="AG65" s="1114">
        <f t="shared" si="12"/>
        <v>0</v>
      </c>
      <c r="AH65" s="1114">
        <f t="shared" si="13"/>
        <v>136919.73087200112</v>
      </c>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row>
    <row r="66" spans="1:92" x14ac:dyDescent="0.2">
      <c r="A66" s="9" t="s">
        <v>62</v>
      </c>
      <c r="B66" s="10">
        <v>3531</v>
      </c>
      <c r="C66" s="11">
        <f>SUMIF(AWPU!B:B,B66,AWPU!J:J)</f>
        <v>352</v>
      </c>
      <c r="D66" s="11">
        <f>SUMIF(AWPU!B:B,B66,AWPU!K:K)</f>
        <v>0</v>
      </c>
      <c r="E66" s="11">
        <f>SUMIF(AWPU!B:B,B66,AWPU!L:L)</f>
        <v>0</v>
      </c>
      <c r="F66" s="1114">
        <f t="shared" si="0"/>
        <v>107811.11043563343</v>
      </c>
      <c r="G66" s="11">
        <f>SUMIF(DEP!B:B,B66,DEP!O:O)</f>
        <v>207144.76071268384</v>
      </c>
      <c r="H66" s="1114">
        <f t="shared" si="1"/>
        <v>73022.227509425371</v>
      </c>
      <c r="I66" s="11">
        <f>SUMIF(LAC!B:B,B66,LAC!D:D)</f>
        <v>0</v>
      </c>
      <c r="J66" s="1114">
        <f t="shared" si="2"/>
        <v>0</v>
      </c>
      <c r="K66" s="11">
        <f>SUMIF(LCHI!B:B,B66,LCHI!D:D)</f>
        <v>0</v>
      </c>
      <c r="L66" s="1114">
        <f t="shared" si="3"/>
        <v>0</v>
      </c>
      <c r="M66" s="11">
        <f>SUMIF(EAL!B:B,B66,EAL!G:G)</f>
        <v>31917.17060662244</v>
      </c>
      <c r="N66" s="1114">
        <f t="shared" si="4"/>
        <v>12784.265302739968</v>
      </c>
      <c r="O66" s="11">
        <f>SUMIF(MOB!B:B,B66,MOB!G:G)</f>
        <v>0</v>
      </c>
      <c r="P66" s="1114">
        <f t="shared" si="5"/>
        <v>0</v>
      </c>
      <c r="Q66" s="1114">
        <f t="shared" si="6"/>
        <v>193617.60324779875</v>
      </c>
      <c r="R66" s="11">
        <v>193617.6032477988</v>
      </c>
      <c r="S66" s="11" t="s">
        <v>1184</v>
      </c>
      <c r="T66" s="11">
        <v>350</v>
      </c>
      <c r="U66" s="11">
        <v>0</v>
      </c>
      <c r="V66" s="11">
        <v>0</v>
      </c>
      <c r="W66" s="1114">
        <f t="shared" si="7"/>
        <v>102539.60283688626</v>
      </c>
      <c r="X66" s="11">
        <v>220274.52151034499</v>
      </c>
      <c r="Y66" s="1114">
        <f t="shared" si="8"/>
        <v>77650.702672458734</v>
      </c>
      <c r="Z66" s="11">
        <v>0</v>
      </c>
      <c r="AA66" s="1114">
        <f t="shared" si="9"/>
        <v>0</v>
      </c>
      <c r="AB66" s="11">
        <v>0</v>
      </c>
      <c r="AC66" s="1114">
        <f t="shared" si="10"/>
        <v>0</v>
      </c>
      <c r="AD66" s="11">
        <v>21963.83419999999</v>
      </c>
      <c r="AE66" s="1114">
        <f t="shared" si="11"/>
        <v>8797.5054850235501</v>
      </c>
      <c r="AF66" s="11">
        <v>0</v>
      </c>
      <c r="AG66" s="1114">
        <f t="shared" si="12"/>
        <v>0</v>
      </c>
      <c r="AH66" s="1114">
        <f t="shared" si="13"/>
        <v>188987.81099436854</v>
      </c>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row>
    <row r="67" spans="1:92" x14ac:dyDescent="0.2">
      <c r="A67" s="9" t="s">
        <v>103</v>
      </c>
      <c r="B67" s="10">
        <v>3526</v>
      </c>
      <c r="C67" s="11">
        <f>SUMIF(AWPU!B:B,B67,AWPU!J:J)</f>
        <v>85</v>
      </c>
      <c r="D67" s="11">
        <f>SUMIF(AWPU!B:B,B67,AWPU!K:K)</f>
        <v>0</v>
      </c>
      <c r="E67" s="11">
        <f>SUMIF(AWPU!B:B,B67,AWPU!L:L)</f>
        <v>0</v>
      </c>
      <c r="F67" s="1114">
        <f t="shared" si="0"/>
        <v>26033.932917695573</v>
      </c>
      <c r="G67" s="11">
        <f>SUMIF(DEP!B:B,B67,DEP!O:O)</f>
        <v>70101.294303866918</v>
      </c>
      <c r="H67" s="1114">
        <f t="shared" si="1"/>
        <v>24711.958167565244</v>
      </c>
      <c r="I67" s="11">
        <f>SUMIF(LAC!B:B,B67,LAC!D:D)</f>
        <v>0</v>
      </c>
      <c r="J67" s="1114">
        <f t="shared" si="2"/>
        <v>0</v>
      </c>
      <c r="K67" s="11">
        <f>SUMIF(LCHI!B:B,B67,LCHI!D:D)</f>
        <v>0</v>
      </c>
      <c r="L67" s="1114">
        <f t="shared" si="3"/>
        <v>0</v>
      </c>
      <c r="M67" s="11">
        <f>SUMIF(EAL!B:B,B67,EAL!G:G)</f>
        <v>56867.400709090922</v>
      </c>
      <c r="N67" s="1114">
        <f t="shared" si="4"/>
        <v>22777.956940562763</v>
      </c>
      <c r="O67" s="11">
        <f>SUMIF(MOB!B:B,B67,MOB!G:G)</f>
        <v>4198.8799999999683</v>
      </c>
      <c r="P67" s="1114">
        <f t="shared" si="5"/>
        <v>4198.8799999999683</v>
      </c>
      <c r="Q67" s="1114">
        <f t="shared" si="6"/>
        <v>77722.728025823541</v>
      </c>
      <c r="R67" s="11">
        <v>77722.72802582357</v>
      </c>
      <c r="S67" s="11" t="s">
        <v>1186</v>
      </c>
      <c r="T67" s="11">
        <v>83</v>
      </c>
      <c r="U67" s="11">
        <v>0</v>
      </c>
      <c r="V67" s="11">
        <v>0</v>
      </c>
      <c r="W67" s="1114">
        <f t="shared" si="7"/>
        <v>24316.534387033025</v>
      </c>
      <c r="X67" s="11">
        <v>73746.521281859386</v>
      </c>
      <c r="Y67" s="1114">
        <f t="shared" si="8"/>
        <v>25996.965776710927</v>
      </c>
      <c r="Z67" s="11">
        <v>0</v>
      </c>
      <c r="AA67" s="1114">
        <f t="shared" si="9"/>
        <v>0</v>
      </c>
      <c r="AB67" s="11">
        <v>0</v>
      </c>
      <c r="AC67" s="1114">
        <f t="shared" si="10"/>
        <v>0</v>
      </c>
      <c r="AD67" s="11">
        <v>50732.789571428548</v>
      </c>
      <c r="AE67" s="1114">
        <f t="shared" si="11"/>
        <v>20320.768699173135</v>
      </c>
      <c r="AF67" s="11">
        <v>839.77599999999563</v>
      </c>
      <c r="AG67" s="1114">
        <f t="shared" si="12"/>
        <v>839.77599999999563</v>
      </c>
      <c r="AH67" s="1114">
        <f t="shared" si="13"/>
        <v>71474.044862917086</v>
      </c>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row>
    <row r="68" spans="1:92" x14ac:dyDescent="0.2">
      <c r="A68" s="9" t="s">
        <v>104</v>
      </c>
      <c r="B68" s="10">
        <v>3535</v>
      </c>
      <c r="C68" s="11">
        <f>SUMIF(AWPU!B:B,B68,AWPU!J:J)</f>
        <v>297</v>
      </c>
      <c r="D68" s="11">
        <f>SUMIF(AWPU!B:B,B68,AWPU!K:K)</f>
        <v>0</v>
      </c>
      <c r="E68" s="11">
        <f>SUMIF(AWPU!B:B,B68,AWPU!L:L)</f>
        <v>0</v>
      </c>
      <c r="F68" s="1114">
        <f t="shared" si="0"/>
        <v>90965.624430065713</v>
      </c>
      <c r="G68" s="11">
        <f>SUMIF(DEP!B:B,B68,DEP!O:O)</f>
        <v>278709.04599124624</v>
      </c>
      <c r="H68" s="1114">
        <f t="shared" si="1"/>
        <v>98249.916122843541</v>
      </c>
      <c r="I68" s="11">
        <f>SUMIF(LAC!B:B,B68,LAC!D:D)</f>
        <v>2670.4675076411959</v>
      </c>
      <c r="J68" s="1114">
        <f t="shared" si="2"/>
        <v>2670.4675076411959</v>
      </c>
      <c r="K68" s="11">
        <f>SUMIF(LCHI!B:B,B68,LCHI!D:D)</f>
        <v>0</v>
      </c>
      <c r="L68" s="1114">
        <f t="shared" si="3"/>
        <v>0</v>
      </c>
      <c r="M68" s="11">
        <f>SUMIF(EAL!B:B,B68,EAL!G:G)</f>
        <v>71265.857783107989</v>
      </c>
      <c r="N68" s="1114">
        <f t="shared" si="4"/>
        <v>28545.187922689798</v>
      </c>
      <c r="O68" s="11">
        <f>SUMIF(MOB!B:B,B68,MOB!G:G)</f>
        <v>0</v>
      </c>
      <c r="P68" s="1114">
        <f t="shared" si="5"/>
        <v>0</v>
      </c>
      <c r="Q68" s="1114">
        <f t="shared" si="6"/>
        <v>220431.19598324026</v>
      </c>
      <c r="R68" s="11">
        <v>220431.19598324024</v>
      </c>
      <c r="S68" s="11" t="s">
        <v>1187</v>
      </c>
      <c r="T68" s="11">
        <v>302</v>
      </c>
      <c r="U68" s="11">
        <v>0</v>
      </c>
      <c r="V68" s="11">
        <v>0</v>
      </c>
      <c r="W68" s="1114">
        <f t="shared" si="7"/>
        <v>88477.028733541854</v>
      </c>
      <c r="X68" s="11">
        <v>278328.69112808281</v>
      </c>
      <c r="Y68" s="1114">
        <f t="shared" si="8"/>
        <v>98115.834240894517</v>
      </c>
      <c r="Z68" s="11">
        <v>0</v>
      </c>
      <c r="AA68" s="1114">
        <f t="shared" si="9"/>
        <v>0</v>
      </c>
      <c r="AB68" s="11">
        <v>0</v>
      </c>
      <c r="AC68" s="1114">
        <f t="shared" si="10"/>
        <v>0</v>
      </c>
      <c r="AD68" s="11">
        <v>73837.602171428633</v>
      </c>
      <c r="AE68" s="1114">
        <f t="shared" si="11"/>
        <v>29575.287456146001</v>
      </c>
      <c r="AF68" s="11">
        <v>0</v>
      </c>
      <c r="AG68" s="1114">
        <f t="shared" si="12"/>
        <v>0</v>
      </c>
      <c r="AH68" s="1114">
        <f t="shared" si="13"/>
        <v>216168.15043058238</v>
      </c>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row>
    <row r="69" spans="1:92" x14ac:dyDescent="0.2">
      <c r="A69" s="12" t="s">
        <v>64</v>
      </c>
      <c r="B69" s="10">
        <v>2008</v>
      </c>
      <c r="C69" s="11">
        <f>SUMIF(AWPU!B:B,B69,AWPU!J:J)</f>
        <v>228</v>
      </c>
      <c r="D69" s="11">
        <f>SUMIF(AWPU!B:B,B69,AWPU!K:K)</f>
        <v>0</v>
      </c>
      <c r="E69" s="11">
        <f>SUMIF(AWPU!B:B,B69,AWPU!L:L)</f>
        <v>0</v>
      </c>
      <c r="F69" s="1114">
        <f t="shared" si="0"/>
        <v>69832.196532171656</v>
      </c>
      <c r="G69" s="11">
        <f>SUMIF(DEP!B:B,B69,DEP!O:O)</f>
        <v>150225.51186133901</v>
      </c>
      <c r="H69" s="1114">
        <f t="shared" si="1"/>
        <v>52957.175779473517</v>
      </c>
      <c r="I69" s="11">
        <f>SUMIF(LAC!B:B,B69,LAC!D:D)</f>
        <v>0</v>
      </c>
      <c r="J69" s="1114">
        <f t="shared" si="2"/>
        <v>0</v>
      </c>
      <c r="K69" s="11">
        <f>SUMIF(LCHI!B:B,B69,LCHI!D:D)</f>
        <v>0</v>
      </c>
      <c r="L69" s="1114">
        <f t="shared" si="3"/>
        <v>0</v>
      </c>
      <c r="M69" s="11">
        <f>SUMIF(EAL!B:B,B69,EAL!G:G)</f>
        <v>14780.856545454555</v>
      </c>
      <c r="N69" s="1114">
        <f t="shared" si="4"/>
        <v>5920.3992047974371</v>
      </c>
      <c r="O69" s="11">
        <f>SUMIF(MOB!B:B,B69,MOB!G:G)</f>
        <v>0</v>
      </c>
      <c r="P69" s="1114">
        <f t="shared" si="5"/>
        <v>0</v>
      </c>
      <c r="Q69" s="1114">
        <f t="shared" si="6"/>
        <v>128709.77151644262</v>
      </c>
      <c r="R69" s="11">
        <v>128709.77151644258</v>
      </c>
      <c r="S69" s="11" t="s">
        <v>1188</v>
      </c>
      <c r="T69" s="11">
        <v>221</v>
      </c>
      <c r="U69" s="11">
        <v>0</v>
      </c>
      <c r="V69" s="11">
        <v>0</v>
      </c>
      <c r="W69" s="1114">
        <f t="shared" si="7"/>
        <v>64746.434934148179</v>
      </c>
      <c r="X69" s="11">
        <v>148872.49561092767</v>
      </c>
      <c r="Y69" s="1114">
        <f t="shared" si="8"/>
        <v>52480.213387948075</v>
      </c>
      <c r="Z69" s="11">
        <v>0</v>
      </c>
      <c r="AA69" s="1114">
        <f t="shared" si="9"/>
        <v>0</v>
      </c>
      <c r="AB69" s="11">
        <v>0</v>
      </c>
      <c r="AC69" s="1114">
        <f t="shared" si="10"/>
        <v>0</v>
      </c>
      <c r="AD69" s="11">
        <v>9901.4225026178046</v>
      </c>
      <c r="AE69" s="1114">
        <f t="shared" si="11"/>
        <v>3965.9659594551022</v>
      </c>
      <c r="AF69" s="11">
        <v>0</v>
      </c>
      <c r="AG69" s="1114">
        <f t="shared" si="12"/>
        <v>0</v>
      </c>
      <c r="AH69" s="1114">
        <f t="shared" si="13"/>
        <v>121192.61428155136</v>
      </c>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row>
    <row r="70" spans="1:92" x14ac:dyDescent="0.2">
      <c r="A70" s="9" t="s">
        <v>105</v>
      </c>
      <c r="B70" s="10">
        <v>3542</v>
      </c>
      <c r="C70" s="11">
        <f>SUMIF(AWPU!B:B,B70,AWPU!J:J)</f>
        <v>351</v>
      </c>
      <c r="D70" s="11">
        <f>SUMIF(AWPU!B:B,B70,AWPU!K:K)</f>
        <v>0</v>
      </c>
      <c r="E70" s="11">
        <f>SUMIF(AWPU!B:B,B70,AWPU!L:L)</f>
        <v>0</v>
      </c>
      <c r="F70" s="1114">
        <f t="shared" si="0"/>
        <v>107504.82887189584</v>
      </c>
      <c r="G70" s="11">
        <f>SUMIF(DEP!B:B,B70,DEP!O:O)</f>
        <v>185286.39965452373</v>
      </c>
      <c r="H70" s="1114">
        <f t="shared" si="1"/>
        <v>65316.764872182837</v>
      </c>
      <c r="I70" s="11">
        <f>SUMIF(LAC!B:B,B70,LAC!D:D)</f>
        <v>3969.184359610028</v>
      </c>
      <c r="J70" s="1114">
        <f t="shared" si="2"/>
        <v>3969.184359610028</v>
      </c>
      <c r="K70" s="11">
        <f>SUMIF(LCHI!B:B,B70,LCHI!D:D)</f>
        <v>0</v>
      </c>
      <c r="L70" s="1114">
        <f t="shared" si="3"/>
        <v>0</v>
      </c>
      <c r="M70" s="11">
        <f>SUMIF(EAL!B:B,B70,EAL!G:G)</f>
        <v>78832.699469102896</v>
      </c>
      <c r="N70" s="1114">
        <f t="shared" si="4"/>
        <v>31576.049047877361</v>
      </c>
      <c r="O70" s="11">
        <f>SUMIF(MOB!B:B,B70,MOB!G:G)</f>
        <v>0</v>
      </c>
      <c r="P70" s="1114">
        <f t="shared" si="5"/>
        <v>0</v>
      </c>
      <c r="Q70" s="1114">
        <f t="shared" si="6"/>
        <v>208366.82715156605</v>
      </c>
      <c r="R70" s="11">
        <v>208366.82715156607</v>
      </c>
      <c r="S70" s="11" t="s">
        <v>1190</v>
      </c>
      <c r="T70" s="11">
        <v>359</v>
      </c>
      <c r="U70" s="11">
        <v>0</v>
      </c>
      <c r="V70" s="11">
        <v>0</v>
      </c>
      <c r="W70" s="1114">
        <f t="shared" si="7"/>
        <v>105176.33548126333</v>
      </c>
      <c r="X70" s="11">
        <v>175623.22606938775</v>
      </c>
      <c r="Y70" s="1114">
        <f t="shared" si="8"/>
        <v>61910.323610674925</v>
      </c>
      <c r="Z70" s="11">
        <v>4128.6526512747878</v>
      </c>
      <c r="AA70" s="1114">
        <f t="shared" si="9"/>
        <v>4128.6526512747878</v>
      </c>
      <c r="AB70" s="11">
        <v>0</v>
      </c>
      <c r="AC70" s="1114">
        <f t="shared" si="10"/>
        <v>0</v>
      </c>
      <c r="AD70" s="11">
        <v>78308.032247058902</v>
      </c>
      <c r="AE70" s="1114">
        <f t="shared" si="11"/>
        <v>31365.896179224575</v>
      </c>
      <c r="AF70" s="11">
        <v>0</v>
      </c>
      <c r="AG70" s="1114">
        <f t="shared" si="12"/>
        <v>0</v>
      </c>
      <c r="AH70" s="1114">
        <f t="shared" si="13"/>
        <v>202581.20792243764</v>
      </c>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row>
    <row r="71" spans="1:92" x14ac:dyDescent="0.2">
      <c r="A71" s="9" t="s">
        <v>106</v>
      </c>
      <c r="B71" s="10">
        <v>3528</v>
      </c>
      <c r="C71" s="11">
        <f>SUMIF(AWPU!B:B,B71,AWPU!J:J)</f>
        <v>347</v>
      </c>
      <c r="D71" s="11">
        <f>SUMIF(AWPU!B:B,B71,AWPU!K:K)</f>
        <v>0</v>
      </c>
      <c r="E71" s="11">
        <f>SUMIF(AWPU!B:B,B71,AWPU!L:L)</f>
        <v>0</v>
      </c>
      <c r="F71" s="1114">
        <f t="shared" si="0"/>
        <v>106279.70261694546</v>
      </c>
      <c r="G71" s="11">
        <f>SUMIF(DEP!B:B,B71,DEP!O:O)</f>
        <v>179142.22608962678</v>
      </c>
      <c r="H71" s="1114">
        <f t="shared" si="1"/>
        <v>63150.833962949706</v>
      </c>
      <c r="I71" s="11">
        <f>SUMIF(LAC!B:B,B71,LAC!D:D)</f>
        <v>2630.6229406162465</v>
      </c>
      <c r="J71" s="1114">
        <f t="shared" si="2"/>
        <v>2630.6229406162465</v>
      </c>
      <c r="K71" s="11">
        <f>SUMIF(LCHI!B:B,B71,LCHI!D:D)</f>
        <v>0</v>
      </c>
      <c r="L71" s="1114">
        <f t="shared" si="3"/>
        <v>0</v>
      </c>
      <c r="M71" s="11">
        <f>SUMIF(EAL!B:B,B71,EAL!G:G)</f>
        <v>56947.326032876634</v>
      </c>
      <c r="N71" s="1114">
        <f t="shared" si="4"/>
        <v>22809.970634892921</v>
      </c>
      <c r="O71" s="11">
        <f>SUMIF(MOB!B:B,B71,MOB!G:G)</f>
        <v>14756.064000000191</v>
      </c>
      <c r="P71" s="1114">
        <f t="shared" si="5"/>
        <v>14756.064000000191</v>
      </c>
      <c r="Q71" s="1114">
        <f t="shared" si="6"/>
        <v>209627.19415540452</v>
      </c>
      <c r="R71" s="11">
        <v>209627.19415540452</v>
      </c>
      <c r="S71" s="11" t="s">
        <v>1191</v>
      </c>
      <c r="T71" s="11">
        <v>352</v>
      </c>
      <c r="U71" s="11">
        <v>0</v>
      </c>
      <c r="V71" s="11">
        <v>0</v>
      </c>
      <c r="W71" s="1114">
        <f t="shared" si="7"/>
        <v>103125.5434245256</v>
      </c>
      <c r="X71" s="11">
        <v>171119.00476925517</v>
      </c>
      <c r="Y71" s="1114">
        <f t="shared" si="8"/>
        <v>60322.505162361442</v>
      </c>
      <c r="Z71" s="11">
        <v>1405.1099657817108</v>
      </c>
      <c r="AA71" s="1114">
        <f t="shared" si="9"/>
        <v>1405.1099657817108</v>
      </c>
      <c r="AB71" s="11">
        <v>0</v>
      </c>
      <c r="AC71" s="1114">
        <f t="shared" si="10"/>
        <v>0</v>
      </c>
      <c r="AD71" s="11">
        <v>47290.244674402813</v>
      </c>
      <c r="AE71" s="1114">
        <f t="shared" si="11"/>
        <v>18941.874315877176</v>
      </c>
      <c r="AF71" s="11">
        <v>10557.183999999997</v>
      </c>
      <c r="AG71" s="1114">
        <f t="shared" si="12"/>
        <v>10557.183999999997</v>
      </c>
      <c r="AH71" s="1114">
        <f t="shared" si="13"/>
        <v>194352.21686854592</v>
      </c>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row>
    <row r="72" spans="1:92" x14ac:dyDescent="0.2">
      <c r="A72" s="9" t="s">
        <v>107</v>
      </c>
      <c r="B72" s="10">
        <v>3534</v>
      </c>
      <c r="C72" s="11">
        <f>SUMIF(AWPU!B:B,B72,AWPU!J:J)</f>
        <v>244</v>
      </c>
      <c r="D72" s="11">
        <f>SUMIF(AWPU!B:B,B72,AWPU!K:K)</f>
        <v>0</v>
      </c>
      <c r="E72" s="11">
        <f>SUMIF(AWPU!B:B,B72,AWPU!L:L)</f>
        <v>0</v>
      </c>
      <c r="F72" s="1114">
        <f t="shared" ref="F72:F77" si="14">C$4*C$5*C72+D$4*D$5*D72+E$4*E$5*E72</f>
        <v>74732.701551973179</v>
      </c>
      <c r="G72" s="11">
        <f>SUMIF(DEP!B:B,B72,DEP!O:O)</f>
        <v>53342.269909659502</v>
      </c>
      <c r="H72" s="1114">
        <f t="shared" ref="H72:H77" si="15">H$4*G72</f>
        <v>18804.102772432918</v>
      </c>
      <c r="I72" s="11">
        <f>SUMIF(LAC!B:B,B72,LAC!D:D)</f>
        <v>0</v>
      </c>
      <c r="J72" s="1114">
        <f t="shared" ref="J72:J77" si="16">J$4*I72</f>
        <v>0</v>
      </c>
      <c r="K72" s="11">
        <f>SUMIF(LCHI!B:B,B72,LCHI!D:D)</f>
        <v>0</v>
      </c>
      <c r="L72" s="1114">
        <f t="shared" ref="L72:L77" si="17">L$4*K72</f>
        <v>0</v>
      </c>
      <c r="M72" s="11">
        <f>SUMIF(EAL!B:B,B72,EAL!G:G)</f>
        <v>13978.178892050215</v>
      </c>
      <c r="N72" s="1114">
        <f t="shared" ref="N72:N77" si="18">N$4*M72</f>
        <v>5598.8906287342234</v>
      </c>
      <c r="O72" s="11">
        <f>SUMIF(MOB!B:B,B72,MOB!G:G)</f>
        <v>0</v>
      </c>
      <c r="P72" s="1114">
        <f t="shared" ref="P72:P77" si="19">P$4*O72</f>
        <v>0</v>
      </c>
      <c r="Q72" s="1114">
        <f t="shared" ref="Q72:Q77" si="20">P72+N72+L72+J72+H72+F72</f>
        <v>99135.694953140322</v>
      </c>
      <c r="R72" s="11">
        <v>99135.694953140308</v>
      </c>
      <c r="S72" s="11" t="s">
        <v>1192</v>
      </c>
      <c r="T72" s="11">
        <v>239</v>
      </c>
      <c r="U72" s="11">
        <v>0</v>
      </c>
      <c r="V72" s="11">
        <v>0</v>
      </c>
      <c r="W72" s="1114">
        <f t="shared" ref="W72:W77" si="21">T$4*T$5*T72+U$4*U$5*U72+V$4*V$5*V72</f>
        <v>70019.900222902332</v>
      </c>
      <c r="X72" s="11">
        <v>62007.506211168322</v>
      </c>
      <c r="Y72" s="1114">
        <f t="shared" ref="Y72:Y77" si="22">Y$4*X72</f>
        <v>21858.753319493382</v>
      </c>
      <c r="Z72" s="11">
        <v>2706.4333999999994</v>
      </c>
      <c r="AA72" s="1114">
        <f t="shared" ref="AA72:AA77" si="23">AA$4*Z72</f>
        <v>2706.4333999999994</v>
      </c>
      <c r="AB72" s="11">
        <v>0</v>
      </c>
      <c r="AC72" s="1114">
        <f t="shared" ref="AC72:AC77" si="24">AC$4*AB72</f>
        <v>0</v>
      </c>
      <c r="AD72" s="11">
        <v>24816.280199999957</v>
      </c>
      <c r="AE72" s="1114">
        <f t="shared" ref="AE72:AE77" si="25">AE$4*AD72</f>
        <v>9940.0386648967269</v>
      </c>
      <c r="AF72" s="11">
        <v>0</v>
      </c>
      <c r="AG72" s="1114">
        <f t="shared" ref="AG72:AG77" si="26">AG$4*AF72</f>
        <v>0</v>
      </c>
      <c r="AH72" s="1114">
        <f t="shared" ref="AH72:AH77" si="27">AG72+AE72+AC72+AA72+Y72+W72</f>
        <v>104525.12560729244</v>
      </c>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row>
    <row r="73" spans="1:92" x14ac:dyDescent="0.2">
      <c r="A73" s="9" t="s">
        <v>108</v>
      </c>
      <c r="B73" s="10">
        <v>3532</v>
      </c>
      <c r="C73" s="11">
        <f>SUMIF(AWPU!B:B,B73,AWPU!J:J)</f>
        <v>310</v>
      </c>
      <c r="D73" s="11">
        <f>SUMIF(AWPU!B:B,B73,AWPU!K:K)</f>
        <v>0</v>
      </c>
      <c r="E73" s="11">
        <f>SUMIF(AWPU!B:B,B73,AWPU!L:L)</f>
        <v>0</v>
      </c>
      <c r="F73" s="1114">
        <f t="shared" si="14"/>
        <v>94947.284758654438</v>
      </c>
      <c r="G73" s="11">
        <f>SUMIF(DEP!B:B,B73,DEP!O:O)</f>
        <v>43326.437753145437</v>
      </c>
      <c r="H73" s="1114">
        <f t="shared" si="15"/>
        <v>15273.343066453035</v>
      </c>
      <c r="I73" s="11">
        <f>SUMIF(LAC!B:B,B73,LAC!D:D)</f>
        <v>1384.4791320132013</v>
      </c>
      <c r="J73" s="1114">
        <f t="shared" si="16"/>
        <v>1384.4791320132013</v>
      </c>
      <c r="K73" s="11">
        <f>SUMIF(LCHI!B:B,B73,LCHI!D:D)</f>
        <v>0</v>
      </c>
      <c r="L73" s="1114">
        <f t="shared" si="17"/>
        <v>0</v>
      </c>
      <c r="M73" s="11">
        <f>SUMIF(EAL!B:B,B73,EAL!G:G)</f>
        <v>0</v>
      </c>
      <c r="N73" s="1114">
        <f t="shared" si="18"/>
        <v>0</v>
      </c>
      <c r="O73" s="11">
        <f>SUMIF(MOB!B:B,B73,MOB!G:G)</f>
        <v>0</v>
      </c>
      <c r="P73" s="1114">
        <f t="shared" si="19"/>
        <v>0</v>
      </c>
      <c r="Q73" s="1114">
        <f t="shared" si="20"/>
        <v>111605.10695712068</v>
      </c>
      <c r="R73" s="11">
        <v>111605.10695712068</v>
      </c>
      <c r="S73" s="11" t="s">
        <v>1193</v>
      </c>
      <c r="T73" s="11">
        <v>303</v>
      </c>
      <c r="U73" s="11">
        <v>0</v>
      </c>
      <c r="V73" s="11">
        <v>0</v>
      </c>
      <c r="W73" s="1114">
        <f t="shared" si="21"/>
        <v>88769.999027361526</v>
      </c>
      <c r="X73" s="11">
        <v>51917.141484280161</v>
      </c>
      <c r="Y73" s="1114">
        <f t="shared" si="22"/>
        <v>18301.719551393879</v>
      </c>
      <c r="Z73" s="11">
        <v>0</v>
      </c>
      <c r="AA73" s="1114">
        <f t="shared" si="23"/>
        <v>0</v>
      </c>
      <c r="AB73" s="11">
        <v>0</v>
      </c>
      <c r="AC73" s="1114">
        <f t="shared" si="24"/>
        <v>0</v>
      </c>
      <c r="AD73" s="11">
        <v>0</v>
      </c>
      <c r="AE73" s="1114">
        <f t="shared" si="25"/>
        <v>0</v>
      </c>
      <c r="AF73" s="11">
        <v>0</v>
      </c>
      <c r="AG73" s="1114">
        <f t="shared" si="26"/>
        <v>0</v>
      </c>
      <c r="AH73" s="1114">
        <f t="shared" si="27"/>
        <v>107071.7185787554</v>
      </c>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row>
    <row r="74" spans="1:92" x14ac:dyDescent="0.2">
      <c r="A74" s="9" t="s">
        <v>65</v>
      </c>
      <c r="B74" s="10">
        <v>3546</v>
      </c>
      <c r="C74" s="11">
        <f>SUMIF(AWPU!B:B,B74,AWPU!J:J)</f>
        <v>546</v>
      </c>
      <c r="D74" s="11">
        <f>SUMIF(AWPU!B:B,B74,AWPU!K:K)</f>
        <v>0</v>
      </c>
      <c r="E74" s="11">
        <f>SUMIF(AWPU!B:B,B74,AWPU!L:L)</f>
        <v>0</v>
      </c>
      <c r="F74" s="1114">
        <f t="shared" si="14"/>
        <v>167229.73380072686</v>
      </c>
      <c r="G74" s="11">
        <f>SUMIF(DEP!B:B,B74,DEP!O:O)</f>
        <v>512146.02222263947</v>
      </c>
      <c r="H74" s="1114">
        <f t="shared" si="15"/>
        <v>180540.61915020406</v>
      </c>
      <c r="I74" s="11">
        <f>SUMIF(LAC!B:B,B74,LAC!D:D)</f>
        <v>2731.4466476894636</v>
      </c>
      <c r="J74" s="1114">
        <f t="shared" si="16"/>
        <v>2731.4466476894636</v>
      </c>
      <c r="K74" s="11">
        <f>SUMIF(LCHI!B:B,B74,LCHI!D:D)</f>
        <v>0</v>
      </c>
      <c r="L74" s="1114">
        <f t="shared" si="17"/>
        <v>0</v>
      </c>
      <c r="M74" s="11">
        <f>SUMIF(EAL!B:B,B74,EAL!G:G)</f>
        <v>101661.1754400002</v>
      </c>
      <c r="N74" s="1114">
        <f t="shared" si="18"/>
        <v>40719.88253068053</v>
      </c>
      <c r="O74" s="11">
        <f>SUMIF(MOB!B:B,B74,MOB!G:G)</f>
        <v>0</v>
      </c>
      <c r="P74" s="1114">
        <f t="shared" si="19"/>
        <v>0</v>
      </c>
      <c r="Q74" s="1114">
        <f t="shared" si="20"/>
        <v>391221.6821293009</v>
      </c>
      <c r="R74" s="11">
        <v>391221.6821293009</v>
      </c>
      <c r="S74" s="11" t="s">
        <v>1195</v>
      </c>
      <c r="T74" s="11">
        <v>533</v>
      </c>
      <c r="U74" s="11">
        <v>0</v>
      </c>
      <c r="V74" s="11">
        <v>0</v>
      </c>
      <c r="W74" s="1114">
        <f t="shared" si="21"/>
        <v>156153.1666058868</v>
      </c>
      <c r="X74" s="11">
        <v>525635.14328996057</v>
      </c>
      <c r="Y74" s="1114">
        <f t="shared" si="22"/>
        <v>185295.77522603807</v>
      </c>
      <c r="Z74" s="11">
        <v>2890.8396837675346</v>
      </c>
      <c r="AA74" s="1114">
        <f t="shared" si="23"/>
        <v>2890.8396837675346</v>
      </c>
      <c r="AB74" s="11">
        <v>0</v>
      </c>
      <c r="AC74" s="1114">
        <f t="shared" si="24"/>
        <v>0</v>
      </c>
      <c r="AD74" s="11">
        <v>107076.83070338603</v>
      </c>
      <c r="AE74" s="1114">
        <f t="shared" si="25"/>
        <v>42889.096541804036</v>
      </c>
      <c r="AF74" s="11">
        <v>9237.5359999997272</v>
      </c>
      <c r="AG74" s="1114">
        <f t="shared" si="26"/>
        <v>9237.5359999997272</v>
      </c>
      <c r="AH74" s="1114">
        <f t="shared" si="27"/>
        <v>396466.41405749612</v>
      </c>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row>
    <row r="75" spans="1:92" x14ac:dyDescent="0.2">
      <c r="A75" s="9" t="s">
        <v>109</v>
      </c>
      <c r="B75" s="10">
        <v>3530</v>
      </c>
      <c r="C75" s="11">
        <f>SUMIF(AWPU!B:B,B75,AWPU!J:J)</f>
        <v>317</v>
      </c>
      <c r="D75" s="11">
        <f>SUMIF(AWPU!B:B,B75,AWPU!K:K)</f>
        <v>0</v>
      </c>
      <c r="E75" s="11">
        <f>SUMIF(AWPU!B:B,B75,AWPU!L:L)</f>
        <v>0</v>
      </c>
      <c r="F75" s="1114">
        <f t="shared" si="14"/>
        <v>97091.25570481761</v>
      </c>
      <c r="G75" s="11">
        <f>SUMIF(DEP!B:B,B75,DEP!O:O)</f>
        <v>23874.437553166073</v>
      </c>
      <c r="H75" s="1114">
        <f t="shared" si="15"/>
        <v>8416.1656064522067</v>
      </c>
      <c r="I75" s="11">
        <f>SUMIF(LAC!B:B,B75,LAC!D:D)</f>
        <v>2812.9160255737702</v>
      </c>
      <c r="J75" s="1114">
        <f t="shared" si="16"/>
        <v>2812.9160255737702</v>
      </c>
      <c r="K75" s="11">
        <f>SUMIF(LCHI!B:B,B75,LCHI!D:D)</f>
        <v>0</v>
      </c>
      <c r="L75" s="1114">
        <f t="shared" si="17"/>
        <v>0</v>
      </c>
      <c r="M75" s="11">
        <f>SUMIF(EAL!B:B,B75,EAL!G:G)</f>
        <v>1043.3369792307703</v>
      </c>
      <c r="N75" s="1114">
        <f t="shared" si="18"/>
        <v>417.90348233053993</v>
      </c>
      <c r="O75" s="11">
        <f>SUMIF(MOB!B:B,B75,MOB!G:G)</f>
        <v>0</v>
      </c>
      <c r="P75" s="1114">
        <f t="shared" si="19"/>
        <v>0</v>
      </c>
      <c r="Q75" s="1114">
        <f t="shared" si="20"/>
        <v>108738.24081917413</v>
      </c>
      <c r="R75" s="11">
        <v>108738.24081917411</v>
      </c>
      <c r="S75" s="11" t="s">
        <v>1198</v>
      </c>
      <c r="T75" s="11">
        <v>311</v>
      </c>
      <c r="U75" s="11">
        <v>0</v>
      </c>
      <c r="V75" s="11">
        <v>0</v>
      </c>
      <c r="W75" s="1114">
        <f t="shared" si="21"/>
        <v>91113.761377918927</v>
      </c>
      <c r="X75" s="11">
        <v>21796.648707300501</v>
      </c>
      <c r="Y75" s="1114">
        <f t="shared" si="22"/>
        <v>7683.7079314555931</v>
      </c>
      <c r="Z75" s="11">
        <v>2796.3481308970099</v>
      </c>
      <c r="AA75" s="1114">
        <f t="shared" si="23"/>
        <v>2796.3481308970099</v>
      </c>
      <c r="AB75" s="11">
        <v>0</v>
      </c>
      <c r="AC75" s="1114">
        <f t="shared" si="24"/>
        <v>0</v>
      </c>
      <c r="AD75" s="11">
        <v>6048.4820863636287</v>
      </c>
      <c r="AE75" s="1114">
        <f t="shared" si="25"/>
        <v>2422.6896745947361</v>
      </c>
      <c r="AF75" s="11">
        <v>0</v>
      </c>
      <c r="AG75" s="1114">
        <f t="shared" si="26"/>
        <v>0</v>
      </c>
      <c r="AH75" s="1114">
        <f t="shared" si="27"/>
        <v>104016.50711486627</v>
      </c>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row>
    <row r="76" spans="1:92" x14ac:dyDescent="0.2">
      <c r="A76" s="9" t="s">
        <v>67</v>
      </c>
      <c r="B76" s="10">
        <v>2459</v>
      </c>
      <c r="C76" s="11">
        <f>SUMIF(AWPU!B:B,B76,AWPU!J:J)</f>
        <v>390</v>
      </c>
      <c r="D76" s="11">
        <f>SUMIF(AWPU!B:B,B76,AWPU!K:K)</f>
        <v>0</v>
      </c>
      <c r="E76" s="11">
        <f>SUMIF(AWPU!B:B,B76,AWPU!L:L)</f>
        <v>0</v>
      </c>
      <c r="F76" s="1114">
        <f t="shared" si="14"/>
        <v>119449.80985766204</v>
      </c>
      <c r="G76" s="11">
        <f>SUMIF(DEP!B:B,B76,DEP!O:O)</f>
        <v>38017.78671839492</v>
      </c>
      <c r="H76" s="1114">
        <f t="shared" si="15"/>
        <v>13401.948770531737</v>
      </c>
      <c r="I76" s="11">
        <f>SUMIF(LAC!B:B,B76,LAC!D:D)</f>
        <v>2720.3840876288659</v>
      </c>
      <c r="J76" s="1114">
        <f t="shared" si="16"/>
        <v>2720.3840876288659</v>
      </c>
      <c r="K76" s="11">
        <f>SUMIF(LCHI!B:B,B76,LCHI!D:D)</f>
        <v>0</v>
      </c>
      <c r="L76" s="1114">
        <f t="shared" si="17"/>
        <v>0</v>
      </c>
      <c r="M76" s="11">
        <f>SUMIF(EAL!B:B,B76,EAL!G:G)</f>
        <v>15939.638543283567</v>
      </c>
      <c r="N76" s="1114">
        <f t="shared" si="18"/>
        <v>6384.5436200674849</v>
      </c>
      <c r="O76" s="11">
        <f>SUMIF(MOB!B:B,B76,MOB!G:G)</f>
        <v>0</v>
      </c>
      <c r="P76" s="1114">
        <f t="shared" si="19"/>
        <v>0</v>
      </c>
      <c r="Q76" s="1114">
        <f t="shared" si="20"/>
        <v>141956.68633589012</v>
      </c>
      <c r="R76" s="11">
        <v>141956.68633589012</v>
      </c>
      <c r="S76" s="11" t="s">
        <v>1199</v>
      </c>
      <c r="T76" s="11">
        <v>387</v>
      </c>
      <c r="U76" s="11">
        <v>0</v>
      </c>
      <c r="V76" s="11">
        <v>0</v>
      </c>
      <c r="W76" s="1114">
        <f t="shared" si="21"/>
        <v>113379.50370821424</v>
      </c>
      <c r="X76" s="11">
        <v>36024.402742347433</v>
      </c>
      <c r="Y76" s="1114">
        <f t="shared" si="22"/>
        <v>12699.24531951624</v>
      </c>
      <c r="Z76" s="11">
        <v>0</v>
      </c>
      <c r="AA76" s="1114">
        <f t="shared" si="23"/>
        <v>0</v>
      </c>
      <c r="AB76" s="11">
        <v>0</v>
      </c>
      <c r="AC76" s="1114">
        <f t="shared" si="24"/>
        <v>0</v>
      </c>
      <c r="AD76" s="11">
        <v>12006.126184894254</v>
      </c>
      <c r="AE76" s="1114">
        <f t="shared" si="25"/>
        <v>4808.9946410855773</v>
      </c>
      <c r="AF76" s="11">
        <v>0</v>
      </c>
      <c r="AG76" s="1114">
        <f t="shared" si="26"/>
        <v>0</v>
      </c>
      <c r="AH76" s="1114">
        <f t="shared" si="27"/>
        <v>130887.74366881605</v>
      </c>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row>
    <row r="77" spans="1:92" x14ac:dyDescent="0.2">
      <c r="A77" s="9" t="s">
        <v>912</v>
      </c>
      <c r="B77" s="10">
        <v>4000</v>
      </c>
      <c r="C77" s="11">
        <f>SUMIF(AWPU!B:B,B77,AWPU!J:J)</f>
        <v>229</v>
      </c>
      <c r="D77" s="11">
        <f>SUMIF(AWPU!B:B,B77,AWPU!K:K)</f>
        <v>0</v>
      </c>
      <c r="E77" s="11">
        <f>SUMIF(AWPU!B:B,B77,AWPU!L:L)</f>
        <v>0</v>
      </c>
      <c r="F77" s="1114">
        <f t="shared" si="14"/>
        <v>70138.478095909246</v>
      </c>
      <c r="G77" s="11">
        <f>SUMIF(DEP!B:B,B77,DEP!O:O)</f>
        <v>158420.53516734391</v>
      </c>
      <c r="H77" s="1114">
        <f t="shared" si="15"/>
        <v>55846.067848175939</v>
      </c>
      <c r="I77" s="11">
        <f>SUMIF(LAC!B:B,B77,LAC!D:D)</f>
        <v>0</v>
      </c>
      <c r="J77" s="1114">
        <f t="shared" si="16"/>
        <v>0</v>
      </c>
      <c r="K77" s="11">
        <f>SUMIF(LCHI!B:B,B77,LCHI!D:D)</f>
        <v>0</v>
      </c>
      <c r="L77" s="1114">
        <f t="shared" si="17"/>
        <v>0</v>
      </c>
      <c r="M77" s="11">
        <f>SUMIF(EAL!B:B,B77,EAL!G:G)</f>
        <v>135886.77970073</v>
      </c>
      <c r="N77" s="1114">
        <f t="shared" si="18"/>
        <v>54428.77955067424</v>
      </c>
      <c r="O77" s="11">
        <f>SUMIF(MOB!B:B,B77,MOB!G:G)</f>
        <v>7084.1481257862761</v>
      </c>
      <c r="P77" s="1114">
        <f t="shared" si="19"/>
        <v>7084.1481257862761</v>
      </c>
      <c r="Q77" s="1114">
        <f t="shared" si="20"/>
        <v>187497.4736205457</v>
      </c>
      <c r="R77" s="11">
        <v>187497.4736205457</v>
      </c>
      <c r="S77" s="11" t="s">
        <v>1201</v>
      </c>
      <c r="T77" s="11">
        <v>0</v>
      </c>
      <c r="U77" s="11">
        <v>0</v>
      </c>
      <c r="V77" s="11">
        <v>0</v>
      </c>
      <c r="W77" s="1114">
        <f t="shared" si="21"/>
        <v>0</v>
      </c>
      <c r="X77" s="11">
        <v>0</v>
      </c>
      <c r="Y77" s="1114">
        <f t="shared" si="22"/>
        <v>0</v>
      </c>
      <c r="Z77" s="11">
        <v>0</v>
      </c>
      <c r="AA77" s="1114">
        <f t="shared" si="23"/>
        <v>0</v>
      </c>
      <c r="AB77" s="11">
        <v>0</v>
      </c>
      <c r="AC77" s="1114">
        <f t="shared" si="24"/>
        <v>0</v>
      </c>
      <c r="AD77" s="11">
        <v>0</v>
      </c>
      <c r="AE77" s="1114">
        <f t="shared" si="25"/>
        <v>0</v>
      </c>
      <c r="AF77" s="11">
        <v>0</v>
      </c>
      <c r="AG77" s="1114">
        <f t="shared" si="26"/>
        <v>0</v>
      </c>
      <c r="AH77" s="1114">
        <f t="shared" si="27"/>
        <v>0</v>
      </c>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row>
    <row r="78" spans="1:92" x14ac:dyDescent="0.2">
      <c r="A78" s="9"/>
      <c r="B78" s="10"/>
      <c r="C78" s="11"/>
      <c r="D78" s="11"/>
      <c r="E78" s="11"/>
      <c r="F78" s="1114"/>
      <c r="G78" s="11"/>
      <c r="H78" s="1114"/>
      <c r="I78" s="11"/>
      <c r="J78" s="1114"/>
      <c r="K78" s="11"/>
      <c r="L78" s="1114"/>
      <c r="M78" s="11"/>
      <c r="N78" s="1114"/>
      <c r="O78" s="11"/>
      <c r="P78" s="1114"/>
      <c r="Q78" s="1114"/>
      <c r="R78" s="11"/>
      <c r="S78" s="11"/>
      <c r="T78" s="11"/>
      <c r="U78" s="11"/>
      <c r="V78" s="11"/>
      <c r="W78" s="1114"/>
      <c r="X78" s="11"/>
      <c r="Y78" s="1114"/>
      <c r="Z78" s="11"/>
      <c r="AA78" s="1114"/>
      <c r="AB78" s="11"/>
      <c r="AC78" s="1114"/>
      <c r="AD78" s="11"/>
      <c r="AE78" s="1114"/>
      <c r="AF78" s="11"/>
      <c r="AG78" s="1114"/>
      <c r="AH78" s="1114"/>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row>
    <row r="79" spans="1:92" s="58" customFormat="1" x14ac:dyDescent="0.2">
      <c r="A79" s="1" t="s">
        <v>110</v>
      </c>
      <c r="B79" s="1" t="s">
        <v>110</v>
      </c>
      <c r="C79" s="29">
        <f t="shared" ref="C79:R79" si="28">SUM(C7:C77)</f>
        <v>21885</v>
      </c>
      <c r="D79" s="29">
        <f t="shared" si="28"/>
        <v>0</v>
      </c>
      <c r="E79" s="29">
        <f t="shared" si="28"/>
        <v>0</v>
      </c>
      <c r="F79" s="1115">
        <f t="shared" si="28"/>
        <v>6702972.0223972667</v>
      </c>
      <c r="G79" s="29">
        <f t="shared" si="28"/>
        <v>12920519.136036837</v>
      </c>
      <c r="H79" s="1115">
        <f t="shared" si="28"/>
        <v>4554713.7405044436</v>
      </c>
      <c r="I79" s="29">
        <f t="shared" si="28"/>
        <v>94356.570760851217</v>
      </c>
      <c r="J79" s="1115">
        <f t="shared" si="28"/>
        <v>94356.570760851217</v>
      </c>
      <c r="K79" s="29">
        <f t="shared" si="28"/>
        <v>0</v>
      </c>
      <c r="L79" s="1115">
        <f t="shared" si="28"/>
        <v>0</v>
      </c>
      <c r="M79" s="29">
        <f t="shared" si="28"/>
        <v>2859226.5163690951</v>
      </c>
      <c r="N79" s="1115">
        <f t="shared" si="28"/>
        <v>1145249.0822700663</v>
      </c>
      <c r="O79" s="29">
        <f t="shared" si="28"/>
        <v>414419.81200016075</v>
      </c>
      <c r="P79" s="1115">
        <f t="shared" si="28"/>
        <v>414419.81200016075</v>
      </c>
      <c r="Q79" s="1115">
        <f t="shared" si="28"/>
        <v>12911711.227932792</v>
      </c>
      <c r="R79" s="1115">
        <f t="shared" si="28"/>
        <v>12911711.227932792</v>
      </c>
      <c r="S79" s="29"/>
      <c r="T79" s="29">
        <f t="shared" ref="T79:AH79" si="29">SUM(T7:T77)</f>
        <v>20999</v>
      </c>
      <c r="U79" s="29">
        <f t="shared" si="29"/>
        <v>0</v>
      </c>
      <c r="V79" s="29">
        <f t="shared" si="29"/>
        <v>0</v>
      </c>
      <c r="W79" s="1115">
        <f t="shared" si="29"/>
        <v>6152083.1999193598</v>
      </c>
      <c r="X79" s="29">
        <f t="shared" si="29"/>
        <v>12284856.175037136</v>
      </c>
      <c r="Y79" s="1115">
        <f t="shared" si="29"/>
        <v>4330631.1945702098</v>
      </c>
      <c r="Z79" s="29">
        <f t="shared" si="29"/>
        <v>119272.27144706488</v>
      </c>
      <c r="AA79" s="1115">
        <f t="shared" si="29"/>
        <v>119272.27144706488</v>
      </c>
      <c r="AB79" s="29">
        <f t="shared" si="29"/>
        <v>0</v>
      </c>
      <c r="AC79" s="1115">
        <f t="shared" si="29"/>
        <v>0</v>
      </c>
      <c r="AD79" s="29">
        <f t="shared" si="29"/>
        <v>2510314.1532008522</v>
      </c>
      <c r="AE79" s="1115">
        <f t="shared" si="29"/>
        <v>1005493.9556917965</v>
      </c>
      <c r="AF79" s="29">
        <f t="shared" si="29"/>
        <v>373508.14497325814</v>
      </c>
      <c r="AG79" s="1115">
        <f t="shared" si="29"/>
        <v>373508.14497325814</v>
      </c>
      <c r="AH79" s="1115">
        <f t="shared" si="29"/>
        <v>11980988.766601685</v>
      </c>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row>
    <row r="80" spans="1:92" x14ac:dyDescent="0.2">
      <c r="A80" s="9"/>
      <c r="B80" s="10"/>
      <c r="C80" s="11"/>
      <c r="D80" s="11"/>
      <c r="E80" s="11"/>
      <c r="F80" s="1114"/>
      <c r="G80" s="11"/>
      <c r="H80" s="1114"/>
      <c r="I80" s="11"/>
      <c r="J80" s="1114"/>
      <c r="K80" s="11"/>
      <c r="L80" s="1114"/>
      <c r="M80" s="11"/>
      <c r="N80" s="1114"/>
      <c r="O80" s="11"/>
      <c r="P80" s="1114"/>
      <c r="Q80" s="1114"/>
      <c r="R80" s="11"/>
      <c r="S80" s="11"/>
      <c r="T80" s="11"/>
      <c r="U80" s="11"/>
      <c r="V80" s="11"/>
      <c r="W80" s="1114"/>
      <c r="X80" s="11"/>
      <c r="Y80" s="1114"/>
      <c r="Z80" s="11"/>
      <c r="AA80" s="1114"/>
      <c r="AB80" s="11"/>
      <c r="AC80" s="1114"/>
      <c r="AD80" s="11"/>
      <c r="AE80" s="1114"/>
      <c r="AF80" s="11"/>
      <c r="AG80" s="1114"/>
      <c r="AH80" s="1114"/>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row>
    <row r="81" spans="1:92" x14ac:dyDescent="0.2">
      <c r="A81" s="9" t="s">
        <v>75</v>
      </c>
      <c r="B81" s="10">
        <v>5402</v>
      </c>
      <c r="C81" s="11">
        <f>SUMIF(AWPU!B:B,B81,AWPU!J:J)</f>
        <v>0</v>
      </c>
      <c r="D81" s="11">
        <f>SUMIF(AWPU!B:B,B81,AWPU!K:K)</f>
        <v>792</v>
      </c>
      <c r="E81" s="11">
        <f>SUMIF(AWPU!B:B,B81,AWPU!L:L)</f>
        <v>534</v>
      </c>
      <c r="F81" s="1114">
        <f t="shared" ref="F81:F94" si="30">C$4*C$5*C81+D$4*D$5*D81+E$4*E$5*E81</f>
        <v>459294.98802708089</v>
      </c>
      <c r="G81" s="11">
        <f>SUMIF(DEP!B:B,B81,DEP!O:O)</f>
        <v>196420.68979902432</v>
      </c>
      <c r="H81" s="1114">
        <f t="shared" ref="H81:H94" si="31">H$4*G81</f>
        <v>69241.800993252778</v>
      </c>
      <c r="I81" s="11">
        <f>SUMIF(LAC!B:B,B81,LAC!D:D)</f>
        <v>12142.321878045112</v>
      </c>
      <c r="J81" s="1114">
        <f t="shared" ref="J81:J94" si="32">J$4*I81</f>
        <v>12142.321878045112</v>
      </c>
      <c r="K81" s="11">
        <f>SUMIF(LCHI!B:B,B81,LCHI!D:D)</f>
        <v>177373.7348754449</v>
      </c>
      <c r="L81" s="1114">
        <f t="shared" ref="L81:L94" si="33">L$4*K81</f>
        <v>62527.358941281171</v>
      </c>
      <c r="M81" s="11">
        <f>SUMIF(EAL!B:B,B81,EAL!G:G)</f>
        <v>35285.020283509693</v>
      </c>
      <c r="N81" s="1114">
        <f t="shared" ref="N81:N94" si="34">N$4*M81</f>
        <v>14133.240883932001</v>
      </c>
      <c r="O81" s="11">
        <f>SUMIF(MOB!B:B,B81,MOB!G:G)</f>
        <v>0</v>
      </c>
      <c r="P81" s="1114">
        <f t="shared" ref="P81:P94" si="35">P$4*O81</f>
        <v>0</v>
      </c>
      <c r="Q81" s="1114">
        <f t="shared" ref="Q81:Q94" si="36">P81+N81+L81+J81+H81+F81</f>
        <v>617339.71072359197</v>
      </c>
      <c r="R81" s="11">
        <v>617339.71072359174</v>
      </c>
      <c r="S81" s="11" t="str">
        <f>CONCATENATE(831,B81)</f>
        <v>8315402</v>
      </c>
      <c r="T81" s="11">
        <v>0</v>
      </c>
      <c r="U81" s="11">
        <v>784</v>
      </c>
      <c r="V81" s="11">
        <v>549</v>
      </c>
      <c r="W81" s="1114">
        <f t="shared" ref="W81:W94" si="37">T$4*T$5*T81+U$4*U$5*U81+V$4*V$5*V81</f>
        <v>448008.94736233796</v>
      </c>
      <c r="X81" s="11">
        <v>195616.52412073404</v>
      </c>
      <c r="Y81" s="1114">
        <f t="shared" ref="Y81:Y94" si="38">Y$4*X81</f>
        <v>68958.318230216202</v>
      </c>
      <c r="Z81" s="11">
        <v>9339.3972098372778</v>
      </c>
      <c r="AA81" s="1114">
        <f t="shared" ref="AA81:AA94" si="39">AA$4*Z81</f>
        <v>9339.3972098372778</v>
      </c>
      <c r="AB81" s="11">
        <v>164042.58652519892</v>
      </c>
      <c r="AC81" s="1114">
        <f t="shared" ref="AC81:AC94" si="40">AC$4*AB81</f>
        <v>57827.894848806369</v>
      </c>
      <c r="AD81" s="11">
        <v>32863.051717207542</v>
      </c>
      <c r="AE81" s="1114">
        <f t="shared" ref="AE81:AE94" si="41">AE$4*AD81</f>
        <v>13163.133317439908</v>
      </c>
      <c r="AF81" s="11">
        <v>0</v>
      </c>
      <c r="AG81" s="1114">
        <f t="shared" ref="AG81:AG94" si="42">AG$4*AF81</f>
        <v>0</v>
      </c>
      <c r="AH81" s="1114">
        <f t="shared" ref="AH81:AH94" si="43">AG81+AE81+AC81+AA81+Y81+W81</f>
        <v>597297.6909686377</v>
      </c>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row>
    <row r="82" spans="1:92" x14ac:dyDescent="0.2">
      <c r="A82" s="9" t="s">
        <v>68</v>
      </c>
      <c r="B82" s="10">
        <v>4608</v>
      </c>
      <c r="C82" s="11">
        <f>SUMIF(AWPU!B:B,B82,AWPU!J:J)</f>
        <v>0</v>
      </c>
      <c r="D82" s="11">
        <f>SUMIF(AWPU!B:B,B82,AWPU!K:K)</f>
        <v>319</v>
      </c>
      <c r="E82" s="11">
        <f>SUMIF(AWPU!B:B,B82,AWPU!L:L)</f>
        <v>235</v>
      </c>
      <c r="F82" s="1114">
        <f t="shared" si="30"/>
        <v>191878.41197937314</v>
      </c>
      <c r="G82" s="11">
        <f>SUMIF(DEP!B:B,B82,DEP!O:O)</f>
        <v>451725.04434545356</v>
      </c>
      <c r="H82" s="1114">
        <f t="shared" si="31"/>
        <v>159241.14540194202</v>
      </c>
      <c r="I82" s="11">
        <f>SUMIF(LAC!B:B,B82,LAC!D:D)</f>
        <v>5452.2331039999999</v>
      </c>
      <c r="J82" s="1114">
        <f t="shared" si="32"/>
        <v>5452.2331039999999</v>
      </c>
      <c r="K82" s="11">
        <f>SUMIF(LCHI!B:B,B82,LCHI!D:D)</f>
        <v>169319.04189723334</v>
      </c>
      <c r="L82" s="1114">
        <f t="shared" si="33"/>
        <v>59687.938102766857</v>
      </c>
      <c r="M82" s="11">
        <f>SUMIF(EAL!B:B,B82,EAL!G:G)</f>
        <v>32665.824099999947</v>
      </c>
      <c r="N82" s="1114">
        <f t="shared" si="34"/>
        <v>13084.134767897864</v>
      </c>
      <c r="O82" s="11">
        <f>SUMIF(MOB!B:B,B82,MOB!G:G)</f>
        <v>0</v>
      </c>
      <c r="P82" s="1114">
        <f t="shared" si="35"/>
        <v>0</v>
      </c>
      <c r="Q82" s="1114">
        <f t="shared" si="36"/>
        <v>429343.86335597991</v>
      </c>
      <c r="R82" s="11">
        <v>429343.86335597991</v>
      </c>
      <c r="S82" s="11" t="str">
        <f t="shared" ref="S82:S94" si="44">CONCATENATE(831,B82)</f>
        <v>8314608</v>
      </c>
      <c r="T82" s="11">
        <v>0</v>
      </c>
      <c r="U82" s="11">
        <v>317</v>
      </c>
      <c r="V82" s="11">
        <v>241</v>
      </c>
      <c r="W82" s="1114">
        <f t="shared" si="37"/>
        <v>187538.62912842055</v>
      </c>
      <c r="X82" s="11">
        <v>450549.38676853414</v>
      </c>
      <c r="Y82" s="1114">
        <f t="shared" si="38"/>
        <v>158826.70511023674</v>
      </c>
      <c r="Z82" s="11">
        <v>7525.862976079733</v>
      </c>
      <c r="AA82" s="1114">
        <f t="shared" si="39"/>
        <v>7525.862976079733</v>
      </c>
      <c r="AB82" s="11">
        <v>181552.20071005917</v>
      </c>
      <c r="AC82" s="1114">
        <f t="shared" si="40"/>
        <v>64000.341585798829</v>
      </c>
      <c r="AD82" s="11">
        <v>35432.576766065002</v>
      </c>
      <c r="AE82" s="1114">
        <f t="shared" si="41"/>
        <v>14192.343905417707</v>
      </c>
      <c r="AF82" s="11">
        <v>0</v>
      </c>
      <c r="AG82" s="1114">
        <f t="shared" si="42"/>
        <v>0</v>
      </c>
      <c r="AH82" s="1114">
        <f t="shared" si="43"/>
        <v>432083.88270595355</v>
      </c>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row>
    <row r="83" spans="1:92" x14ac:dyDescent="0.2">
      <c r="A83" s="9" t="s">
        <v>111</v>
      </c>
      <c r="B83" s="10">
        <v>4178</v>
      </c>
      <c r="C83" s="11">
        <f>SUMIF(AWPU!B:B,B83,AWPU!J:J)</f>
        <v>0</v>
      </c>
      <c r="D83" s="11">
        <f>SUMIF(AWPU!B:B,B83,AWPU!K:K)</f>
        <v>787</v>
      </c>
      <c r="E83" s="11">
        <f>SUMIF(AWPU!B:B,B83,AWPU!L:L)</f>
        <v>521</v>
      </c>
      <c r="F83" s="1114">
        <f t="shared" si="30"/>
        <v>453067.0138075921</v>
      </c>
      <c r="G83" s="11">
        <f>SUMIF(DEP!B:B,B83,DEP!O:O)</f>
        <v>710994.79645570612</v>
      </c>
      <c r="H83" s="1114">
        <f t="shared" si="31"/>
        <v>250638.36326914688</v>
      </c>
      <c r="I83" s="11">
        <f>SUMIF(LAC!B:B,B83,LAC!D:D)</f>
        <v>10735.450757240333</v>
      </c>
      <c r="J83" s="1114">
        <f t="shared" si="32"/>
        <v>10735.450757240333</v>
      </c>
      <c r="K83" s="11">
        <f>SUMIF(LCHI!B:B,B83,LCHI!D:D)</f>
        <v>293286.58728682186</v>
      </c>
      <c r="L83" s="1114">
        <f t="shared" si="33"/>
        <v>103388.67662015511</v>
      </c>
      <c r="M83" s="11">
        <f>SUMIF(EAL!B:B,B83,EAL!G:G)</f>
        <v>121354.5029759999</v>
      </c>
      <c r="N83" s="1114">
        <f t="shared" si="34"/>
        <v>48607.947767319536</v>
      </c>
      <c r="O83" s="11">
        <f>SUMIF(MOB!B:B,B83,MOB!G:G)</f>
        <v>0</v>
      </c>
      <c r="P83" s="1114">
        <f t="shared" si="35"/>
        <v>0</v>
      </c>
      <c r="Q83" s="1114">
        <f t="shared" si="36"/>
        <v>866437.45222145389</v>
      </c>
      <c r="R83" s="11">
        <v>866437.45222145389</v>
      </c>
      <c r="S83" s="11" t="str">
        <f t="shared" si="44"/>
        <v>8314178</v>
      </c>
      <c r="T83" s="11">
        <v>0</v>
      </c>
      <c r="U83" s="11">
        <v>783</v>
      </c>
      <c r="V83" s="11">
        <v>525</v>
      </c>
      <c r="W83" s="1114">
        <f t="shared" si="37"/>
        <v>439606.6790322116</v>
      </c>
      <c r="X83" s="11">
        <v>660471.54511379823</v>
      </c>
      <c r="Y83" s="1114">
        <f t="shared" si="38"/>
        <v>232828.0148861536</v>
      </c>
      <c r="Z83" s="11">
        <v>6908.6941592505855</v>
      </c>
      <c r="AA83" s="1114">
        <f t="shared" si="39"/>
        <v>6908.6941592505855</v>
      </c>
      <c r="AB83" s="11">
        <v>314932.61284595274</v>
      </c>
      <c r="AC83" s="1114">
        <f t="shared" si="40"/>
        <v>111019.28106527407</v>
      </c>
      <c r="AD83" s="11">
        <v>122011.48791090482</v>
      </c>
      <c r="AE83" s="1114">
        <f t="shared" si="41"/>
        <v>48871.099843399395</v>
      </c>
      <c r="AF83" s="11">
        <v>0</v>
      </c>
      <c r="AG83" s="1114">
        <f t="shared" si="42"/>
        <v>0</v>
      </c>
      <c r="AH83" s="1114">
        <f t="shared" si="43"/>
        <v>839233.76898628916</v>
      </c>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row>
    <row r="84" spans="1:92" x14ac:dyDescent="0.2">
      <c r="A84" s="9" t="s">
        <v>69</v>
      </c>
      <c r="B84" s="10">
        <v>4181</v>
      </c>
      <c r="C84" s="11">
        <f>SUMIF(AWPU!B:B,B84,AWPU!J:J)</f>
        <v>0</v>
      </c>
      <c r="D84" s="11">
        <f>SUMIF(AWPU!B:B,B84,AWPU!K:K)</f>
        <v>644</v>
      </c>
      <c r="E84" s="11">
        <f>SUMIF(AWPU!B:B,B84,AWPU!L:L)</f>
        <v>419</v>
      </c>
      <c r="F84" s="1114">
        <f t="shared" si="30"/>
        <v>368208.76035268634</v>
      </c>
      <c r="G84" s="11">
        <f>SUMIF(DEP!B:B,B84,DEP!O:O)</f>
        <v>364367.77599773696</v>
      </c>
      <c r="H84" s="1114">
        <f t="shared" si="31"/>
        <v>128446.14821281792</v>
      </c>
      <c r="I84" s="11">
        <f>SUMIF(LAC!B:B,B84,LAC!D:D)</f>
        <v>1329.4541146950091</v>
      </c>
      <c r="J84" s="1114">
        <f t="shared" si="32"/>
        <v>1329.4541146950091</v>
      </c>
      <c r="K84" s="11">
        <f>SUMIF(LCHI!B:B,B84,LCHI!D:D)</f>
        <v>247853.72082595865</v>
      </c>
      <c r="L84" s="1114">
        <f t="shared" si="33"/>
        <v>87372.792696165183</v>
      </c>
      <c r="M84" s="11">
        <f>SUMIF(EAL!B:B,B84,EAL!G:G)</f>
        <v>9911.1662675324715</v>
      </c>
      <c r="N84" s="1114">
        <f t="shared" si="34"/>
        <v>3969.8687764451138</v>
      </c>
      <c r="O84" s="11">
        <f>SUMIF(MOB!B:B,B84,MOB!G:G)</f>
        <v>0</v>
      </c>
      <c r="P84" s="1114">
        <f t="shared" si="35"/>
        <v>0</v>
      </c>
      <c r="Q84" s="1114">
        <f t="shared" si="36"/>
        <v>589327.02415280952</v>
      </c>
      <c r="R84" s="11">
        <v>589327.02415280964</v>
      </c>
      <c r="S84" s="11" t="str">
        <f t="shared" si="44"/>
        <v>8314181</v>
      </c>
      <c r="T84" s="11">
        <v>0</v>
      </c>
      <c r="U84" s="11">
        <v>643</v>
      </c>
      <c r="V84" s="11">
        <v>424</v>
      </c>
      <c r="W84" s="1114">
        <f t="shared" si="37"/>
        <v>358608.81232979341</v>
      </c>
      <c r="X84" s="11">
        <v>343018.31678571785</v>
      </c>
      <c r="Y84" s="1114">
        <f t="shared" si="38"/>
        <v>120920.08256471969</v>
      </c>
      <c r="Z84" s="11">
        <v>3973.9877584403671</v>
      </c>
      <c r="AA84" s="1114">
        <f t="shared" si="39"/>
        <v>3973.9877584403671</v>
      </c>
      <c r="AB84" s="11">
        <v>256062.98739562626</v>
      </c>
      <c r="AC84" s="1114">
        <f t="shared" si="40"/>
        <v>90266.703442345941</v>
      </c>
      <c r="AD84" s="11">
        <v>17329.429661403512</v>
      </c>
      <c r="AE84" s="1114">
        <f t="shared" si="41"/>
        <v>6941.2175993628325</v>
      </c>
      <c r="AF84" s="11">
        <v>0</v>
      </c>
      <c r="AG84" s="1114">
        <f t="shared" si="42"/>
        <v>0</v>
      </c>
      <c r="AH84" s="1114">
        <f t="shared" si="43"/>
        <v>580710.80369466217</v>
      </c>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row>
    <row r="85" spans="1:92" x14ac:dyDescent="0.2">
      <c r="A85" s="9" t="s">
        <v>70</v>
      </c>
      <c r="B85" s="10">
        <v>4182</v>
      </c>
      <c r="C85" s="11">
        <f>SUMIF(AWPU!B:B,B85,AWPU!J:J)</f>
        <v>0</v>
      </c>
      <c r="D85" s="11">
        <f>SUMIF(AWPU!B:B,B85,AWPU!K:K)</f>
        <v>875</v>
      </c>
      <c r="E85" s="11">
        <f>SUMIF(AWPU!B:B,B85,AWPU!L:L)</f>
        <v>523</v>
      </c>
      <c r="F85" s="1114">
        <f t="shared" si="30"/>
        <v>484281.36773680337</v>
      </c>
      <c r="G85" s="11">
        <f>SUMIF(DEP!B:B,B85,DEP!O:O)</f>
        <v>167320.45757627505</v>
      </c>
      <c r="H85" s="1114">
        <f t="shared" si="31"/>
        <v>58983.449439316551</v>
      </c>
      <c r="I85" s="11">
        <f>SUMIF(LAC!B:B,B85,LAC!D:D)</f>
        <v>12436.941212125637</v>
      </c>
      <c r="J85" s="1114">
        <f t="shared" si="32"/>
        <v>12436.941212125637</v>
      </c>
      <c r="K85" s="11">
        <f>SUMIF(LCHI!B:B,B85,LCHI!D:D)</f>
        <v>189901.94138041686</v>
      </c>
      <c r="L85" s="1114">
        <f t="shared" si="33"/>
        <v>66943.771921348161</v>
      </c>
      <c r="M85" s="11">
        <f>SUMIF(EAL!B:B,B85,EAL!G:G)</f>
        <v>75653.247708542753</v>
      </c>
      <c r="N85" s="1114">
        <f t="shared" si="34"/>
        <v>30302.535323078999</v>
      </c>
      <c r="O85" s="11">
        <f>SUMIF(MOB!B:B,B85,MOB!G:G)</f>
        <v>0</v>
      </c>
      <c r="P85" s="1114">
        <f t="shared" si="35"/>
        <v>0</v>
      </c>
      <c r="Q85" s="1114">
        <f t="shared" si="36"/>
        <v>652948.06563267275</v>
      </c>
      <c r="R85" s="11">
        <v>652948.06563267286</v>
      </c>
      <c r="S85" s="11" t="str">
        <f t="shared" si="44"/>
        <v>8314182</v>
      </c>
      <c r="T85" s="11">
        <v>0</v>
      </c>
      <c r="U85" s="11">
        <v>842</v>
      </c>
      <c r="V85" s="11">
        <v>530</v>
      </c>
      <c r="W85" s="1114">
        <f t="shared" si="37"/>
        <v>461116.4859573351</v>
      </c>
      <c r="X85" s="11">
        <v>167970.55545156039</v>
      </c>
      <c r="Y85" s="1114">
        <f t="shared" si="38"/>
        <v>59212.620550326814</v>
      </c>
      <c r="Z85" s="11">
        <v>8388.3131584337352</v>
      </c>
      <c r="AA85" s="1114">
        <f t="shared" si="39"/>
        <v>8388.3131584337352</v>
      </c>
      <c r="AB85" s="11">
        <v>197438.67250414565</v>
      </c>
      <c r="AC85" s="1114">
        <f t="shared" si="40"/>
        <v>69600.602102819146</v>
      </c>
      <c r="AD85" s="11">
        <v>80702.286944257561</v>
      </c>
      <c r="AE85" s="1114">
        <f t="shared" si="41"/>
        <v>32324.903092104505</v>
      </c>
      <c r="AF85" s="11">
        <v>0</v>
      </c>
      <c r="AG85" s="1114">
        <f t="shared" si="42"/>
        <v>0</v>
      </c>
      <c r="AH85" s="1114">
        <f t="shared" si="43"/>
        <v>630642.92486101924</v>
      </c>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row>
    <row r="86" spans="1:92" x14ac:dyDescent="0.2">
      <c r="A86" s="9" t="s">
        <v>71</v>
      </c>
      <c r="B86" s="1020">
        <v>4001</v>
      </c>
      <c r="C86" s="11">
        <f>SUMIF(AWPU!B:B,B86,AWPU!J:J)</f>
        <v>0</v>
      </c>
      <c r="D86" s="11">
        <f>SUMIF(AWPU!B:B,B86,AWPU!K:K)</f>
        <v>406</v>
      </c>
      <c r="E86" s="11">
        <f>SUMIF(AWPU!B:B,B86,AWPU!L:L)</f>
        <v>325</v>
      </c>
      <c r="F86" s="1114">
        <f t="shared" si="30"/>
        <v>253164.88757897861</v>
      </c>
      <c r="G86" s="11">
        <f>SUMIF(DEP!B:B,B86,DEP!O:O)</f>
        <v>677113.37315309048</v>
      </c>
      <c r="H86" s="1114">
        <f t="shared" si="31"/>
        <v>238694.5564731913</v>
      </c>
      <c r="I86" s="11">
        <f>SUMIF(LAC!B:B,B86,LAC!D:D)</f>
        <v>8809.681747964376</v>
      </c>
      <c r="J86" s="1114">
        <f t="shared" si="32"/>
        <v>8809.681747964376</v>
      </c>
      <c r="K86" s="11">
        <f>SUMIF(LCHI!B:B,B86,LCHI!D:D)</f>
        <v>343189.20105263148</v>
      </c>
      <c r="L86" s="1114">
        <f t="shared" si="33"/>
        <v>120980.22502631578</v>
      </c>
      <c r="M86" s="11">
        <f>SUMIF(EAL!B:B,B86,EAL!G:G)</f>
        <v>151386.62774999996</v>
      </c>
      <c r="N86" s="1114">
        <f t="shared" si="34"/>
        <v>60637.167256973909</v>
      </c>
      <c r="O86" s="11">
        <f>SUMIF(MOB!B:B,B86,MOB!G:G)</f>
        <v>0</v>
      </c>
      <c r="P86" s="1114">
        <f t="shared" si="35"/>
        <v>0</v>
      </c>
      <c r="Q86" s="1114">
        <f t="shared" si="36"/>
        <v>682286.51808342407</v>
      </c>
      <c r="R86" s="11">
        <v>682286.51808342396</v>
      </c>
      <c r="S86" s="11" t="str">
        <f t="shared" si="44"/>
        <v>8314001</v>
      </c>
      <c r="T86" s="11">
        <v>0</v>
      </c>
      <c r="U86" s="11">
        <v>426</v>
      </c>
      <c r="V86" s="11">
        <v>339</v>
      </c>
      <c r="W86" s="1114">
        <f t="shared" si="37"/>
        <v>257109.41090186688</v>
      </c>
      <c r="X86" s="11">
        <v>686057.17368870194</v>
      </c>
      <c r="Y86" s="1114">
        <f t="shared" si="38"/>
        <v>241847.40588759771</v>
      </c>
      <c r="Z86" s="11">
        <v>8626.7564624999995</v>
      </c>
      <c r="AA86" s="1114">
        <f t="shared" si="39"/>
        <v>8626.7564624999995</v>
      </c>
      <c r="AB86" s="11">
        <v>336249.07565217407</v>
      </c>
      <c r="AC86" s="1114">
        <f t="shared" si="40"/>
        <v>118533.70884782616</v>
      </c>
      <c r="AD86" s="11">
        <v>123286.1877153142</v>
      </c>
      <c r="AE86" s="1114">
        <f t="shared" si="41"/>
        <v>49381.674564503868</v>
      </c>
      <c r="AF86" s="11">
        <v>0</v>
      </c>
      <c r="AG86" s="1114">
        <f t="shared" si="42"/>
        <v>0</v>
      </c>
      <c r="AH86" s="1114">
        <f t="shared" si="43"/>
        <v>675498.95666429459</v>
      </c>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row>
    <row r="87" spans="1:92" x14ac:dyDescent="0.2">
      <c r="A87" s="9" t="s">
        <v>112</v>
      </c>
      <c r="B87" s="10">
        <v>5406</v>
      </c>
      <c r="C87" s="11">
        <f>SUMIF(AWPU!B:B,B87,AWPU!J:J)</f>
        <v>0</v>
      </c>
      <c r="D87" s="11">
        <f>SUMIF(AWPU!B:B,B87,AWPU!K:K)</f>
        <v>479</v>
      </c>
      <c r="E87" s="11">
        <f>SUMIF(AWPU!B:B,B87,AWPU!L:L)</f>
        <v>376</v>
      </c>
      <c r="F87" s="1114">
        <f t="shared" si="30"/>
        <v>296114.2929474907</v>
      </c>
      <c r="G87" s="11">
        <f>SUMIF(DEP!B:B,B87,DEP!O:O)</f>
        <v>388650.40708433313</v>
      </c>
      <c r="H87" s="1114">
        <f t="shared" si="31"/>
        <v>137006.20932965356</v>
      </c>
      <c r="I87" s="11">
        <f>SUMIF(LAC!B:B,B87,LAC!D:D)</f>
        <v>5368.9108051044077</v>
      </c>
      <c r="J87" s="1114">
        <f t="shared" si="32"/>
        <v>5368.9108051044077</v>
      </c>
      <c r="K87" s="11">
        <f>SUMIF(LCHI!B:B,B87,LCHI!D:D)</f>
        <v>214375.9469879517</v>
      </c>
      <c r="L87" s="1114">
        <f t="shared" si="33"/>
        <v>75571.289036144546</v>
      </c>
      <c r="M87" s="11">
        <f>SUMIF(EAL!B:B,B87,EAL!G:G)</f>
        <v>78353.635092352895</v>
      </c>
      <c r="N87" s="1114">
        <f t="shared" si="34"/>
        <v>31384.162174039207</v>
      </c>
      <c r="O87" s="11">
        <f>SUMIF(MOB!B:B,B87,MOB!G:G)</f>
        <v>0</v>
      </c>
      <c r="P87" s="1114">
        <f t="shared" si="35"/>
        <v>0</v>
      </c>
      <c r="Q87" s="1114">
        <f t="shared" si="36"/>
        <v>545444.86429243244</v>
      </c>
      <c r="R87" s="11">
        <v>545444.86429243244</v>
      </c>
      <c r="S87" s="11" t="str">
        <f t="shared" si="44"/>
        <v>8315406</v>
      </c>
      <c r="T87" s="11">
        <v>0</v>
      </c>
      <c r="U87" s="11">
        <v>478</v>
      </c>
      <c r="V87" s="11">
        <v>372</v>
      </c>
      <c r="W87" s="1114">
        <f t="shared" si="37"/>
        <v>285677.12322429649</v>
      </c>
      <c r="X87" s="11">
        <v>367176.6806318551</v>
      </c>
      <c r="Y87" s="1114">
        <f t="shared" si="38"/>
        <v>129436.33726002897</v>
      </c>
      <c r="Z87" s="11">
        <v>6354.8850552486192</v>
      </c>
      <c r="AA87" s="1114">
        <f t="shared" si="39"/>
        <v>6354.8850552486192</v>
      </c>
      <c r="AB87" s="11">
        <v>227516.08344923533</v>
      </c>
      <c r="AC87" s="1114">
        <f t="shared" si="40"/>
        <v>80203.418080667703</v>
      </c>
      <c r="AD87" s="11">
        <v>70857.328981042709</v>
      </c>
      <c r="AE87" s="1114">
        <f t="shared" si="41"/>
        <v>28381.553725480302</v>
      </c>
      <c r="AF87" s="11">
        <v>0</v>
      </c>
      <c r="AG87" s="1114">
        <f t="shared" si="42"/>
        <v>0</v>
      </c>
      <c r="AH87" s="1114">
        <f t="shared" si="43"/>
        <v>530053.31734572211</v>
      </c>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row>
    <row r="88" spans="1:92" x14ac:dyDescent="0.2">
      <c r="A88" s="9" t="s">
        <v>113</v>
      </c>
      <c r="B88" s="10">
        <v>5407</v>
      </c>
      <c r="C88" s="11">
        <f>SUMIF(AWPU!B:B,B88,AWPU!J:J)</f>
        <v>0</v>
      </c>
      <c r="D88" s="11">
        <f>SUMIF(AWPU!B:B,B88,AWPU!K:K)</f>
        <v>658</v>
      </c>
      <c r="E88" s="11">
        <f>SUMIF(AWPU!B:B,B88,AWPU!L:L)</f>
        <v>377</v>
      </c>
      <c r="F88" s="1114">
        <f t="shared" si="30"/>
        <v>358546.54760742601</v>
      </c>
      <c r="G88" s="11">
        <f>SUMIF(DEP!B:B,B88,DEP!O:O)</f>
        <v>617038.33202540176</v>
      </c>
      <c r="H88" s="1114">
        <f t="shared" si="31"/>
        <v>217517.03160714454</v>
      </c>
      <c r="I88" s="11">
        <f>SUMIF(LAC!B:B,B88,LAC!D:D)</f>
        <v>8361.6673701492527</v>
      </c>
      <c r="J88" s="1114">
        <f t="shared" si="32"/>
        <v>8361.6673701492527</v>
      </c>
      <c r="K88" s="11">
        <f>SUMIF(LCHI!B:B,B88,LCHI!D:D)</f>
        <v>306567.5588785045</v>
      </c>
      <c r="L88" s="1114">
        <f t="shared" si="33"/>
        <v>108070.45252336444</v>
      </c>
      <c r="M88" s="11">
        <f>SUMIF(EAL!B:B,B88,EAL!G:G)</f>
        <v>62818.892500000053</v>
      </c>
      <c r="N88" s="1114">
        <f t="shared" si="34"/>
        <v>25161.797630572877</v>
      </c>
      <c r="O88" s="11">
        <f>SUMIF(MOB!B:B,B88,MOB!G:G)</f>
        <v>0</v>
      </c>
      <c r="P88" s="1114">
        <f t="shared" si="35"/>
        <v>0</v>
      </c>
      <c r="Q88" s="1114">
        <f t="shared" si="36"/>
        <v>717657.49673865712</v>
      </c>
      <c r="R88" s="11">
        <v>717657.49673865712</v>
      </c>
      <c r="S88" s="11" t="str">
        <f t="shared" si="44"/>
        <v>8315407</v>
      </c>
      <c r="T88" s="11">
        <v>0</v>
      </c>
      <c r="U88" s="11">
        <v>612</v>
      </c>
      <c r="V88" s="11">
        <v>383</v>
      </c>
      <c r="W88" s="1114">
        <f t="shared" si="37"/>
        <v>334410.27953902946</v>
      </c>
      <c r="X88" s="11">
        <v>570802.92841322662</v>
      </c>
      <c r="Y88" s="1114">
        <f t="shared" si="38"/>
        <v>201218.22612472507</v>
      </c>
      <c r="Z88" s="11">
        <v>6827.8428828600399</v>
      </c>
      <c r="AA88" s="1114">
        <f t="shared" si="39"/>
        <v>6827.8428828600399</v>
      </c>
      <c r="AB88" s="11">
        <v>312957.84427645826</v>
      </c>
      <c r="AC88" s="1114">
        <f t="shared" si="40"/>
        <v>110323.14043736516</v>
      </c>
      <c r="AD88" s="11">
        <v>45229.602599999911</v>
      </c>
      <c r="AE88" s="1114">
        <f t="shared" si="41"/>
        <v>18116.49429401242</v>
      </c>
      <c r="AF88" s="11">
        <v>0</v>
      </c>
      <c r="AG88" s="1114">
        <f t="shared" si="42"/>
        <v>0</v>
      </c>
      <c r="AH88" s="1114">
        <f t="shared" si="43"/>
        <v>670895.98327799211</v>
      </c>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row>
    <row r="89" spans="1:92" x14ac:dyDescent="0.2">
      <c r="A89" s="9" t="s">
        <v>72</v>
      </c>
      <c r="B89" s="10">
        <v>4607</v>
      </c>
      <c r="C89" s="11">
        <f>SUMIF(AWPU!B:B,B89,AWPU!J:J)</f>
        <v>0</v>
      </c>
      <c r="D89" s="11">
        <f>SUMIF(AWPU!B:B,B89,AWPU!K:K)</f>
        <v>677</v>
      </c>
      <c r="E89" s="11">
        <f>SUMIF(AWPU!B:B,B89,AWPU!L:L)</f>
        <v>466</v>
      </c>
      <c r="F89" s="1114">
        <f t="shared" si="30"/>
        <v>395901.38798547839</v>
      </c>
      <c r="G89" s="11">
        <f>SUMIF(DEP!B:B,B89,DEP!O:O)</f>
        <v>589657.13893797668</v>
      </c>
      <c r="H89" s="1114">
        <f t="shared" si="31"/>
        <v>207864.67204839739</v>
      </c>
      <c r="I89" s="11">
        <f>SUMIF(LAC!B:B,B89,LAC!D:D)</f>
        <v>2653.0474924528298</v>
      </c>
      <c r="J89" s="1114">
        <f t="shared" si="32"/>
        <v>2653.0474924528298</v>
      </c>
      <c r="K89" s="11">
        <f>SUMIF(LCHI!B:B,B89,LCHI!D:D)</f>
        <v>290896.54497017938</v>
      </c>
      <c r="L89" s="1114">
        <f t="shared" si="33"/>
        <v>102546.1446978133</v>
      </c>
      <c r="M89" s="11">
        <f>SUMIF(EAL!B:B,B89,EAL!G:G)</f>
        <v>115869.3124117597</v>
      </c>
      <c r="N89" s="1114">
        <f t="shared" si="34"/>
        <v>46410.881734317765</v>
      </c>
      <c r="O89" s="11">
        <f>SUMIF(MOB!B:B,B89,MOB!G:G)</f>
        <v>0</v>
      </c>
      <c r="P89" s="1114">
        <f t="shared" si="35"/>
        <v>0</v>
      </c>
      <c r="Q89" s="1114">
        <f t="shared" si="36"/>
        <v>755376.13395845972</v>
      </c>
      <c r="R89" s="11">
        <v>755376.13395845972</v>
      </c>
      <c r="S89" s="11" t="str">
        <f t="shared" si="44"/>
        <v>8314607</v>
      </c>
      <c r="T89" s="11">
        <v>0</v>
      </c>
      <c r="U89" s="11">
        <v>701</v>
      </c>
      <c r="V89" s="11">
        <v>455</v>
      </c>
      <c r="W89" s="1114">
        <f t="shared" si="37"/>
        <v>388520.88758504327</v>
      </c>
      <c r="X89" s="11">
        <v>566969.19335881597</v>
      </c>
      <c r="Y89" s="1114">
        <f t="shared" si="38"/>
        <v>199866.76605211271</v>
      </c>
      <c r="Z89" s="11">
        <v>5280.4000175527426</v>
      </c>
      <c r="AA89" s="1114">
        <f t="shared" si="39"/>
        <v>5280.4000175527426</v>
      </c>
      <c r="AB89" s="11">
        <v>288945.50611439795</v>
      </c>
      <c r="AC89" s="1114">
        <f t="shared" si="40"/>
        <v>101858.36921104521</v>
      </c>
      <c r="AD89" s="11">
        <v>101270.89214047621</v>
      </c>
      <c r="AE89" s="1114">
        <f t="shared" si="41"/>
        <v>40563.556479545281</v>
      </c>
      <c r="AF89" s="11">
        <v>0</v>
      </c>
      <c r="AG89" s="1114">
        <f t="shared" si="42"/>
        <v>0</v>
      </c>
      <c r="AH89" s="1114">
        <f t="shared" si="43"/>
        <v>736089.9793452993</v>
      </c>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row>
    <row r="90" spans="1:92" x14ac:dyDescent="0.2">
      <c r="A90" s="9" t="s">
        <v>137</v>
      </c>
      <c r="B90" s="1020">
        <v>4002</v>
      </c>
      <c r="C90" s="11">
        <f>SUMIF(AWPU!B:B,B90,AWPU!J:J)</f>
        <v>0</v>
      </c>
      <c r="D90" s="11">
        <f>SUMIF(AWPU!B:B,B90,AWPU!K:K)</f>
        <v>443</v>
      </c>
      <c r="E90" s="11">
        <f>SUMIF(AWPU!B:B,B90,AWPU!L:L)</f>
        <v>335</v>
      </c>
      <c r="F90" s="1114">
        <f t="shared" si="30"/>
        <v>269455.12899379164</v>
      </c>
      <c r="G90" s="11">
        <f>SUMIF(DEP!B:B,B90,DEP!O:O)</f>
        <v>514156.74608807557</v>
      </c>
      <c r="H90" s="1114">
        <f t="shared" si="31"/>
        <v>181249.43522189878</v>
      </c>
      <c r="I90" s="11">
        <f>SUMIF(LAC!B:B,B90,LAC!D:D)</f>
        <v>4177.7880658730155</v>
      </c>
      <c r="J90" s="1114">
        <f t="shared" si="32"/>
        <v>4177.7880658730155</v>
      </c>
      <c r="K90" s="11">
        <f>SUMIF(LCHI!B:B,B90,LCHI!D:D)</f>
        <v>308420.09996715892</v>
      </c>
      <c r="L90" s="1114">
        <f t="shared" si="33"/>
        <v>108723.50581609184</v>
      </c>
      <c r="M90" s="11">
        <f>SUMIF(EAL!B:B,B90,EAL!G:G)</f>
        <v>198507.70029999965</v>
      </c>
      <c r="N90" s="1114">
        <f t="shared" si="34"/>
        <v>79511.280512610087</v>
      </c>
      <c r="O90" s="11">
        <f>SUMIF(MOB!B:B,B90,MOB!G:G)</f>
        <v>0</v>
      </c>
      <c r="P90" s="1114">
        <f t="shared" si="35"/>
        <v>0</v>
      </c>
      <c r="Q90" s="1114">
        <f t="shared" si="36"/>
        <v>643117.13861026545</v>
      </c>
      <c r="R90" s="11">
        <v>643117.13861026522</v>
      </c>
      <c r="S90" s="11" t="str">
        <f t="shared" si="44"/>
        <v>8314002</v>
      </c>
      <c r="T90" s="11">
        <v>0</v>
      </c>
      <c r="U90" s="11">
        <v>368</v>
      </c>
      <c r="V90" s="11">
        <v>382</v>
      </c>
      <c r="W90" s="1114">
        <f t="shared" si="37"/>
        <v>252068.04990379105</v>
      </c>
      <c r="X90" s="11">
        <v>486280.37410344102</v>
      </c>
      <c r="Y90" s="1114">
        <f t="shared" si="38"/>
        <v>171422.51625858119</v>
      </c>
      <c r="Z90" s="11">
        <v>6113.9308734939759</v>
      </c>
      <c r="AA90" s="1114">
        <f t="shared" si="39"/>
        <v>6113.9308734939759</v>
      </c>
      <c r="AB90" s="11">
        <v>288781.20401337801</v>
      </c>
      <c r="AC90" s="1114">
        <f t="shared" si="40"/>
        <v>101800.44983277596</v>
      </c>
      <c r="AD90" s="11">
        <v>128150.5407</v>
      </c>
      <c r="AE90" s="1114">
        <f t="shared" si="41"/>
        <v>51330.067166368623</v>
      </c>
      <c r="AF90" s="11">
        <v>0</v>
      </c>
      <c r="AG90" s="1114">
        <f t="shared" si="42"/>
        <v>0</v>
      </c>
      <c r="AH90" s="1114">
        <f t="shared" si="43"/>
        <v>582735.01403501083</v>
      </c>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row>
    <row r="91" spans="1:92" x14ac:dyDescent="0.2">
      <c r="A91" s="9" t="s">
        <v>74</v>
      </c>
      <c r="B91" s="10">
        <v>5412</v>
      </c>
      <c r="C91" s="11">
        <f>SUMIF(AWPU!B:B,B91,AWPU!J:J)</f>
        <v>0</v>
      </c>
      <c r="D91" s="11">
        <f>SUMIF(AWPU!B:B,B91,AWPU!K:K)</f>
        <v>744</v>
      </c>
      <c r="E91" s="11">
        <f>SUMIF(AWPU!B:B,B91,AWPU!L:L)</f>
        <v>513</v>
      </c>
      <c r="F91" s="1114">
        <f t="shared" si="30"/>
        <v>435386.99814894598</v>
      </c>
      <c r="G91" s="11">
        <f>SUMIF(DEP!B:B,B91,DEP!O:O)</f>
        <v>335484.69222747046</v>
      </c>
      <c r="H91" s="1114">
        <f t="shared" si="31"/>
        <v>118264.34536639406</v>
      </c>
      <c r="I91" s="11">
        <f>SUMIF(LAC!B:B,B91,LAC!D:D)</f>
        <v>5482.6539626107979</v>
      </c>
      <c r="J91" s="1114">
        <f t="shared" si="32"/>
        <v>5482.6539626107979</v>
      </c>
      <c r="K91" s="11">
        <f>SUMIF(LCHI!B:B,B91,LCHI!D:D)</f>
        <v>234813.77546887947</v>
      </c>
      <c r="L91" s="1114">
        <f t="shared" si="33"/>
        <v>82775.982776763427</v>
      </c>
      <c r="M91" s="11">
        <f>SUMIF(EAL!B:B,B91,EAL!G:G)</f>
        <v>12583.800457768923</v>
      </c>
      <c r="N91" s="1114">
        <f t="shared" si="34"/>
        <v>5040.3792225705301</v>
      </c>
      <c r="O91" s="11">
        <f>SUMIF(MOB!B:B,B91,MOB!G:G)</f>
        <v>0</v>
      </c>
      <c r="P91" s="1114">
        <f t="shared" si="35"/>
        <v>0</v>
      </c>
      <c r="Q91" s="1114">
        <f t="shared" si="36"/>
        <v>646950.35947728483</v>
      </c>
      <c r="R91" s="11">
        <v>646950.35947728471</v>
      </c>
      <c r="S91" s="11" t="str">
        <f t="shared" si="44"/>
        <v>8315412</v>
      </c>
      <c r="T91" s="11">
        <v>0</v>
      </c>
      <c r="U91" s="11">
        <v>742</v>
      </c>
      <c r="V91" s="11">
        <v>501</v>
      </c>
      <c r="W91" s="1114">
        <f t="shared" si="37"/>
        <v>417760.78137388302</v>
      </c>
      <c r="X91" s="11">
        <v>328769.84153581294</v>
      </c>
      <c r="Y91" s="1114">
        <f t="shared" si="38"/>
        <v>115897.24057836544</v>
      </c>
      <c r="Z91" s="11">
        <v>5219.7001027152828</v>
      </c>
      <c r="AA91" s="1114">
        <f t="shared" si="39"/>
        <v>5219.7001027152828</v>
      </c>
      <c r="AB91" s="11">
        <v>217359.53150546708</v>
      </c>
      <c r="AC91" s="1114">
        <f t="shared" si="40"/>
        <v>76623.055015979931</v>
      </c>
      <c r="AD91" s="11">
        <v>25168.052659951645</v>
      </c>
      <c r="AE91" s="1114">
        <f t="shared" si="41"/>
        <v>10080.939389138453</v>
      </c>
      <c r="AF91" s="11">
        <v>0</v>
      </c>
      <c r="AG91" s="1114">
        <f t="shared" si="42"/>
        <v>0</v>
      </c>
      <c r="AH91" s="1114">
        <f t="shared" si="43"/>
        <v>625581.7164600821</v>
      </c>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row>
    <row r="92" spans="1:92" x14ac:dyDescent="0.2">
      <c r="A92" s="9" t="s">
        <v>73</v>
      </c>
      <c r="B92" s="10">
        <v>5414</v>
      </c>
      <c r="C92" s="11">
        <f>SUMIF(AWPU!B:B,B92,AWPU!J:J)</f>
        <v>0</v>
      </c>
      <c r="D92" s="11">
        <f>SUMIF(AWPU!B:B,B92,AWPU!K:K)</f>
        <v>643</v>
      </c>
      <c r="E92" s="11">
        <f>SUMIF(AWPU!B:B,B92,AWPU!L:L)</f>
        <v>398</v>
      </c>
      <c r="F92" s="1114">
        <f t="shared" si="30"/>
        <v>360602.83456107369</v>
      </c>
      <c r="G92" s="11">
        <f>SUMIF(DEP!B:B,B92,DEP!O:O)</f>
        <v>243617.48017471068</v>
      </c>
      <c r="H92" s="1114">
        <f t="shared" si="31"/>
        <v>85879.512479030163</v>
      </c>
      <c r="I92" s="11">
        <f>SUMIF(LAC!B:B,B92,LAC!D:D)</f>
        <v>2719.495337258687</v>
      </c>
      <c r="J92" s="1114">
        <f t="shared" si="32"/>
        <v>2719.495337258687</v>
      </c>
      <c r="K92" s="11">
        <f>SUMIF(LCHI!B:B,B92,LCHI!D:D)</f>
        <v>144002.93244249688</v>
      </c>
      <c r="L92" s="1114">
        <f t="shared" si="33"/>
        <v>50763.564581598999</v>
      </c>
      <c r="M92" s="11">
        <f>SUMIF(EAL!B:B,B92,EAL!G:G)</f>
        <v>57243.491650903939</v>
      </c>
      <c r="N92" s="1114">
        <f t="shared" si="34"/>
        <v>22928.598312799477</v>
      </c>
      <c r="O92" s="11">
        <f>SUMIF(MOB!B:B,B92,MOB!G:G)</f>
        <v>0</v>
      </c>
      <c r="P92" s="1114">
        <f t="shared" si="35"/>
        <v>0</v>
      </c>
      <c r="Q92" s="1114">
        <f t="shared" si="36"/>
        <v>522894.00527176098</v>
      </c>
      <c r="R92" s="11">
        <v>522894.00527176098</v>
      </c>
      <c r="S92" s="11" t="str">
        <f t="shared" si="44"/>
        <v>8315414</v>
      </c>
      <c r="T92" s="11">
        <v>0</v>
      </c>
      <c r="U92" s="11">
        <v>632</v>
      </c>
      <c r="V92" s="11">
        <v>391</v>
      </c>
      <c r="W92" s="1114">
        <f t="shared" si="37"/>
        <v>343820.82006877102</v>
      </c>
      <c r="X92" s="11">
        <v>214510.37936924456</v>
      </c>
      <c r="Y92" s="1114">
        <f t="shared" si="38"/>
        <v>75618.739627021554</v>
      </c>
      <c r="Z92" s="11">
        <v>2667.3230907514449</v>
      </c>
      <c r="AA92" s="1114">
        <f t="shared" si="39"/>
        <v>2667.3230907514449</v>
      </c>
      <c r="AB92" s="11">
        <v>136873.07586206932</v>
      </c>
      <c r="AC92" s="1114">
        <f t="shared" si="40"/>
        <v>48250.164827586341</v>
      </c>
      <c r="AD92" s="11">
        <v>57068.174580405401</v>
      </c>
      <c r="AE92" s="1114">
        <f t="shared" si="41"/>
        <v>22858.375924700722</v>
      </c>
      <c r="AF92" s="11">
        <v>0</v>
      </c>
      <c r="AG92" s="1114">
        <f t="shared" si="42"/>
        <v>0</v>
      </c>
      <c r="AH92" s="1114">
        <f t="shared" si="43"/>
        <v>493215.42353883106</v>
      </c>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row>
    <row r="93" spans="1:92" x14ac:dyDescent="0.2">
      <c r="A93" s="9" t="s">
        <v>912</v>
      </c>
      <c r="B93" s="10"/>
      <c r="C93" s="1076">
        <v>0</v>
      </c>
      <c r="D93" s="1076">
        <v>0</v>
      </c>
      <c r="E93" s="1076">
        <v>0</v>
      </c>
      <c r="F93" s="1114">
        <v>0</v>
      </c>
      <c r="G93" s="1076">
        <v>0</v>
      </c>
      <c r="H93" s="1114">
        <v>0</v>
      </c>
      <c r="I93" s="1076">
        <v>0</v>
      </c>
      <c r="J93" s="1114">
        <v>0</v>
      </c>
      <c r="K93" s="1076">
        <v>0</v>
      </c>
      <c r="L93" s="1114">
        <v>0</v>
      </c>
      <c r="M93" s="1076">
        <v>0</v>
      </c>
      <c r="N93" s="1114">
        <v>0</v>
      </c>
      <c r="O93" s="1076">
        <v>0</v>
      </c>
      <c r="P93" s="1114">
        <v>0</v>
      </c>
      <c r="Q93" s="1114">
        <f t="shared" si="36"/>
        <v>0</v>
      </c>
      <c r="R93" s="11"/>
      <c r="S93" s="11"/>
      <c r="T93" s="1076">
        <v>0</v>
      </c>
      <c r="U93" s="1076">
        <v>0</v>
      </c>
      <c r="V93" s="1076">
        <v>0</v>
      </c>
      <c r="W93" s="1114">
        <f t="shared" si="37"/>
        <v>0</v>
      </c>
      <c r="X93" s="1076">
        <v>0</v>
      </c>
      <c r="Y93" s="1114">
        <f t="shared" si="38"/>
        <v>0</v>
      </c>
      <c r="Z93" s="1076">
        <v>0</v>
      </c>
      <c r="AA93" s="1114">
        <f t="shared" si="39"/>
        <v>0</v>
      </c>
      <c r="AB93" s="1076">
        <v>0</v>
      </c>
      <c r="AC93" s="1114">
        <f t="shared" si="40"/>
        <v>0</v>
      </c>
      <c r="AD93" s="1076">
        <v>0</v>
      </c>
      <c r="AE93" s="1114">
        <f t="shared" si="41"/>
        <v>0</v>
      </c>
      <c r="AF93" s="1076">
        <v>0</v>
      </c>
      <c r="AG93" s="1114">
        <f t="shared" si="42"/>
        <v>0</v>
      </c>
      <c r="AH93" s="1114">
        <f t="shared" si="43"/>
        <v>0</v>
      </c>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row>
    <row r="94" spans="1:92" x14ac:dyDescent="0.2">
      <c r="A94" s="9" t="s">
        <v>597</v>
      </c>
      <c r="B94" s="10">
        <v>6905</v>
      </c>
      <c r="C94" s="11">
        <f>SUMIF(AWPU!B:B,B94,AWPU!J:J)</f>
        <v>0</v>
      </c>
      <c r="D94" s="11">
        <f>SUMIF(AWPU!B:B,B94,AWPU!K:K)</f>
        <v>507</v>
      </c>
      <c r="E94" s="11">
        <f>SUMIF(AWPU!B:B,B94,AWPU!L:L)</f>
        <v>337</v>
      </c>
      <c r="F94" s="1114">
        <f t="shared" si="30"/>
        <v>292345.02466605545</v>
      </c>
      <c r="G94" s="11">
        <f>SUMIF(DEP!B:B,B94,DEP!O:O)</f>
        <v>355396.08319092944</v>
      </c>
      <c r="H94" s="1114">
        <f t="shared" si="31"/>
        <v>125283.46627469223</v>
      </c>
      <c r="I94" s="11">
        <f>SUMIF(LAC!B:B,B94,LAC!D:D)</f>
        <v>8090.5423480519476</v>
      </c>
      <c r="J94" s="1114">
        <f t="shared" si="32"/>
        <v>8090.5423480519476</v>
      </c>
      <c r="K94" s="11">
        <f>SUMIF(LCHI!B:B,B94,LCHI!D:D)</f>
        <v>117954.64917333356</v>
      </c>
      <c r="L94" s="1114">
        <f t="shared" si="33"/>
        <v>41581.086922666749</v>
      </c>
      <c r="M94" s="11">
        <f>SUMIF(EAL!B:B,B94,EAL!G:G)</f>
        <v>42716.846899999931</v>
      </c>
      <c r="N94" s="1114">
        <f t="shared" si="34"/>
        <v>17110.022388789515</v>
      </c>
      <c r="O94" s="11">
        <f>SUMIF(MOB!B:B,B94,MOB!G:G)</f>
        <v>0</v>
      </c>
      <c r="P94" s="1114">
        <f t="shared" si="35"/>
        <v>0</v>
      </c>
      <c r="Q94" s="1114">
        <f t="shared" si="36"/>
        <v>484410.1426002559</v>
      </c>
      <c r="R94" s="11">
        <v>484410</v>
      </c>
      <c r="S94" s="11" t="str">
        <f t="shared" si="44"/>
        <v>8316905</v>
      </c>
      <c r="T94" s="11">
        <v>0</v>
      </c>
      <c r="U94" s="11">
        <v>0</v>
      </c>
      <c r="V94" s="11">
        <v>0</v>
      </c>
      <c r="W94" s="1114">
        <f t="shared" si="37"/>
        <v>0</v>
      </c>
      <c r="X94" s="11">
        <v>0</v>
      </c>
      <c r="Y94" s="1114">
        <f t="shared" si="38"/>
        <v>0</v>
      </c>
      <c r="Z94" s="11">
        <v>0</v>
      </c>
      <c r="AA94" s="1114">
        <f t="shared" si="39"/>
        <v>0</v>
      </c>
      <c r="AB94" s="11">
        <v>0</v>
      </c>
      <c r="AC94" s="1114">
        <f t="shared" si="40"/>
        <v>0</v>
      </c>
      <c r="AD94" s="11">
        <v>0</v>
      </c>
      <c r="AE94" s="1114">
        <f t="shared" si="41"/>
        <v>0</v>
      </c>
      <c r="AF94" s="11">
        <v>0</v>
      </c>
      <c r="AG94" s="1114">
        <f t="shared" si="42"/>
        <v>0</v>
      </c>
      <c r="AH94" s="1114">
        <f t="shared" si="43"/>
        <v>0</v>
      </c>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row>
    <row r="95" spans="1:92" x14ac:dyDescent="0.2">
      <c r="A95" s="9"/>
      <c r="B95" s="10"/>
      <c r="C95" s="11"/>
      <c r="D95" s="11"/>
      <c r="E95" s="11"/>
      <c r="F95" s="1114"/>
      <c r="G95" s="11"/>
      <c r="H95" s="1114"/>
      <c r="I95" s="11"/>
      <c r="J95" s="1114"/>
      <c r="K95" s="11"/>
      <c r="L95" s="1114"/>
      <c r="M95" s="11"/>
      <c r="N95" s="1114"/>
      <c r="O95" s="11"/>
      <c r="P95" s="1114"/>
      <c r="Q95" s="1114"/>
      <c r="R95" s="11"/>
      <c r="S95" s="11"/>
      <c r="T95" s="11"/>
      <c r="U95" s="11"/>
      <c r="V95" s="11"/>
      <c r="W95" s="1114"/>
      <c r="X95" s="11"/>
      <c r="Y95" s="1114"/>
      <c r="Z95" s="11"/>
      <c r="AA95" s="1114"/>
      <c r="AB95" s="11"/>
      <c r="AC95" s="1114"/>
      <c r="AD95" s="11"/>
      <c r="AE95" s="1114"/>
      <c r="AF95" s="11"/>
      <c r="AG95" s="1114"/>
      <c r="AH95" s="1114"/>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row>
    <row r="96" spans="1:92" s="58" customFormat="1" x14ac:dyDescent="0.2">
      <c r="A96" s="1" t="s">
        <v>115</v>
      </c>
      <c r="B96" s="1" t="s">
        <v>115</v>
      </c>
      <c r="C96" s="29">
        <f t="shared" ref="C96:R96" si="45">SUM(C81:C94)</f>
        <v>0</v>
      </c>
      <c r="D96" s="29">
        <f t="shared" si="45"/>
        <v>7974</v>
      </c>
      <c r="E96" s="29">
        <f t="shared" si="45"/>
        <v>5359</v>
      </c>
      <c r="F96" s="1115">
        <f t="shared" si="45"/>
        <v>4618247.6443927763</v>
      </c>
      <c r="G96" s="29">
        <f t="shared" si="45"/>
        <v>5611943.0170561848</v>
      </c>
      <c r="H96" s="1115">
        <f t="shared" si="45"/>
        <v>1978310.1361168781</v>
      </c>
      <c r="I96" s="29">
        <f t="shared" si="45"/>
        <v>87760.18819557142</v>
      </c>
      <c r="J96" s="1115">
        <f t="shared" si="45"/>
        <v>87760.18819557142</v>
      </c>
      <c r="K96" s="29">
        <f t="shared" si="45"/>
        <v>3037955.7352070115</v>
      </c>
      <c r="L96" s="1115">
        <f t="shared" si="45"/>
        <v>1070932.7896624755</v>
      </c>
      <c r="M96" s="29">
        <f t="shared" si="45"/>
        <v>994350.06839836994</v>
      </c>
      <c r="N96" s="1115">
        <f t="shared" si="45"/>
        <v>398282.01675134688</v>
      </c>
      <c r="O96" s="29">
        <f t="shared" si="45"/>
        <v>0</v>
      </c>
      <c r="P96" s="1115">
        <f t="shared" si="45"/>
        <v>0</v>
      </c>
      <c r="Q96" s="1115">
        <f t="shared" si="45"/>
        <v>8153532.7751190485</v>
      </c>
      <c r="R96" s="1115">
        <f t="shared" si="45"/>
        <v>8153532.6325187916</v>
      </c>
      <c r="S96" s="29"/>
      <c r="T96" s="29">
        <f t="shared" ref="T96:AH96" si="46">SUM(T81:T94)</f>
        <v>0</v>
      </c>
      <c r="U96" s="29">
        <f t="shared" si="46"/>
        <v>7328</v>
      </c>
      <c r="V96" s="29">
        <f t="shared" si="46"/>
        <v>5092</v>
      </c>
      <c r="W96" s="1115">
        <f t="shared" si="46"/>
        <v>4174246.9064067802</v>
      </c>
      <c r="X96" s="29">
        <f t="shared" si="46"/>
        <v>5038192.8993414436</v>
      </c>
      <c r="Y96" s="1115">
        <f t="shared" si="46"/>
        <v>1776052.9731300857</v>
      </c>
      <c r="Z96" s="29">
        <f t="shared" si="46"/>
        <v>77227.093747163803</v>
      </c>
      <c r="AA96" s="1115">
        <f t="shared" si="46"/>
        <v>77227.093747163803</v>
      </c>
      <c r="AB96" s="29">
        <f t="shared" si="46"/>
        <v>2922711.3808541624</v>
      </c>
      <c r="AC96" s="1115">
        <f t="shared" si="46"/>
        <v>1030307.1292982909</v>
      </c>
      <c r="AD96" s="29">
        <f t="shared" si="46"/>
        <v>839369.61237702856</v>
      </c>
      <c r="AE96" s="1115">
        <f t="shared" si="46"/>
        <v>336205.359301474</v>
      </c>
      <c r="AF96" s="29">
        <f t="shared" si="46"/>
        <v>0</v>
      </c>
      <c r="AG96" s="1115">
        <f t="shared" si="46"/>
        <v>0</v>
      </c>
      <c r="AH96" s="1115">
        <f t="shared" si="46"/>
        <v>7394039.4618837936</v>
      </c>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row>
    <row r="97" spans="1:92" x14ac:dyDescent="0.2">
      <c r="A97" s="1"/>
      <c r="B97" s="1"/>
      <c r="C97" s="11"/>
      <c r="D97" s="11"/>
      <c r="E97" s="11"/>
      <c r="F97" s="1114"/>
      <c r="G97" s="11"/>
      <c r="H97" s="1114"/>
      <c r="I97" s="11"/>
      <c r="J97" s="1114"/>
      <c r="K97" s="11"/>
      <c r="L97" s="1114"/>
      <c r="M97" s="11"/>
      <c r="N97" s="1114"/>
      <c r="O97" s="11"/>
      <c r="P97" s="1114"/>
      <c r="Q97" s="1114"/>
      <c r="R97" s="11"/>
      <c r="S97" s="11"/>
      <c r="T97" s="11"/>
      <c r="U97" s="11"/>
      <c r="V97" s="11"/>
      <c r="W97" s="1114"/>
      <c r="X97" s="11"/>
      <c r="Y97" s="1114"/>
      <c r="Z97" s="11"/>
      <c r="AA97" s="1114"/>
      <c r="AB97" s="11"/>
      <c r="AC97" s="1114"/>
      <c r="AD97" s="11"/>
      <c r="AE97" s="1114"/>
      <c r="AF97" s="11"/>
      <c r="AG97" s="1114"/>
      <c r="AH97" s="1114"/>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row>
    <row r="98" spans="1:92" x14ac:dyDescent="0.2">
      <c r="A98" s="9" t="s">
        <v>114</v>
      </c>
      <c r="B98" s="10">
        <v>4177</v>
      </c>
      <c r="C98" s="11">
        <f>SUMIF(AWPU!B:B,B98,AWPU!J:J)</f>
        <v>82.5</v>
      </c>
      <c r="D98" s="11">
        <f>SUMIF(AWPU!B:B,B98,AWPU!K:K)</f>
        <v>360</v>
      </c>
      <c r="E98" s="11">
        <f>SUMIF(AWPU!B:B,B98,AWPU!L:L)</f>
        <v>257</v>
      </c>
      <c r="F98" s="1114">
        <f t="shared" ref="F98" si="47">C$4*C$5*C98+D$4*D$5*D98+E$4*E$5*E98</f>
        <v>238972.33403445178</v>
      </c>
      <c r="G98" s="11">
        <f>SUMIF(DEP!B:B,B98,DEP!O:O)</f>
        <v>564522.573710775</v>
      </c>
      <c r="H98" s="1114">
        <f t="shared" ref="H98" si="48">H$4*G98</f>
        <v>199004.28893247133</v>
      </c>
      <c r="I98" s="11">
        <f>SUMIF(LAC!B:B,B98,LAC!D:D)</f>
        <v>10704.403185056541</v>
      </c>
      <c r="J98" s="1114">
        <f t="shared" ref="J98" si="49">J$4*I98</f>
        <v>10704.403185056541</v>
      </c>
      <c r="K98" s="11">
        <f>SUMIF(LCHI!B:B,B98,LCHI!D:D)</f>
        <v>305654.39599999989</v>
      </c>
      <c r="L98" s="1114">
        <f t="shared" ref="L98" si="50">L$4*K98</f>
        <v>107748.54655957445</v>
      </c>
      <c r="M98" s="11">
        <f>SUMIF(EAL!B:B,B98,EAL!G:G)</f>
        <v>412249.45077321393</v>
      </c>
      <c r="N98" s="1114">
        <f t="shared" ref="N98" si="51">N$4*M98</f>
        <v>165124.48470291664</v>
      </c>
      <c r="O98" s="11">
        <f>SUMIF(MOB!B:B,B98,MOB!G:G)</f>
        <v>154050.0019478242</v>
      </c>
      <c r="P98" s="1114">
        <f t="shared" ref="P98" si="52">P$4*O98</f>
        <v>154050.0019478242</v>
      </c>
      <c r="Q98" s="1114">
        <f t="shared" ref="Q98" si="53">P98+N98+L98+J98+H98+F98</f>
        <v>875604.05936229485</v>
      </c>
      <c r="R98" s="11">
        <v>875604.05936229508</v>
      </c>
      <c r="S98" s="11" t="str">
        <f t="shared" ref="S98" si="54">CONCATENATE(831,B98)</f>
        <v>8314177</v>
      </c>
      <c r="T98" s="11">
        <v>43.75</v>
      </c>
      <c r="U98" s="11">
        <v>306</v>
      </c>
      <c r="V98" s="11">
        <v>262</v>
      </c>
      <c r="W98" s="1114">
        <f t="shared" ref="W98" si="55">T$4*T$5*T98+U$4*U$5*U98+V$4*V$5*V98</f>
        <v>203716.98681508188</v>
      </c>
      <c r="X98" s="11">
        <v>419089.31729419611</v>
      </c>
      <c r="Y98" s="1114">
        <f t="shared" ref="Y98" si="56">Y$4*X98</f>
        <v>147736.46878123857</v>
      </c>
      <c r="Z98" s="11">
        <v>9422.4588838617892</v>
      </c>
      <c r="AA98" s="1114">
        <f t="shared" ref="AA98" si="57">AA$4*Z98</f>
        <v>9422.4588838617892</v>
      </c>
      <c r="AB98" s="11">
        <v>278390.90469798649</v>
      </c>
      <c r="AC98" s="1114">
        <f t="shared" ref="AC98" si="58">AC$4*AB98</f>
        <v>98137.686711409377</v>
      </c>
      <c r="AD98" s="11">
        <v>314319.9136639472</v>
      </c>
      <c r="AE98" s="1114">
        <f t="shared" ref="AE98" si="59">AE$4*AD98</f>
        <v>125899.29150488241</v>
      </c>
      <c r="AF98" s="11">
        <v>104285.58609161468</v>
      </c>
      <c r="AG98" s="1114">
        <f t="shared" ref="AG98" si="60">AG$4*AF98</f>
        <v>104285.58609161468</v>
      </c>
      <c r="AH98" s="1114">
        <f t="shared" ref="AH98" si="61">AG98+AE98+AC98+AA98+Y98+W98</f>
        <v>689198.47878808866</v>
      </c>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row>
    <row r="99" spans="1:92" x14ac:dyDescent="0.2">
      <c r="A99" s="1"/>
      <c r="B99" s="1"/>
      <c r="C99" s="11"/>
      <c r="D99" s="11"/>
      <c r="E99" s="11"/>
      <c r="F99" s="1114"/>
      <c r="G99" s="11"/>
      <c r="H99" s="1114"/>
      <c r="I99" s="11"/>
      <c r="J99" s="1114"/>
      <c r="K99" s="11"/>
      <c r="L99" s="1114"/>
      <c r="M99" s="11"/>
      <c r="N99" s="1114"/>
      <c r="O99" s="11"/>
      <c r="P99" s="1114"/>
      <c r="Q99" s="1114"/>
      <c r="R99" s="11"/>
      <c r="S99" s="11"/>
      <c r="T99" s="11"/>
      <c r="U99" s="11"/>
      <c r="V99" s="11"/>
      <c r="W99" s="1114"/>
      <c r="X99" s="11"/>
      <c r="Y99" s="1114"/>
      <c r="Z99" s="11"/>
      <c r="AA99" s="1114"/>
      <c r="AB99" s="11"/>
      <c r="AC99" s="1114"/>
      <c r="AD99" s="11"/>
      <c r="AE99" s="1114"/>
      <c r="AF99" s="11"/>
      <c r="AG99" s="1114"/>
      <c r="AH99" s="1114"/>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row>
    <row r="100" spans="1:92" s="58" customFormat="1" x14ac:dyDescent="0.2">
      <c r="A100" s="1" t="s">
        <v>914</v>
      </c>
      <c r="B100" s="1" t="s">
        <v>915</v>
      </c>
      <c r="C100" s="29">
        <f t="shared" ref="C100:R100" si="62">SUM(C98:C99)</f>
        <v>82.5</v>
      </c>
      <c r="D100" s="29">
        <f t="shared" si="62"/>
        <v>360</v>
      </c>
      <c r="E100" s="29">
        <f t="shared" si="62"/>
        <v>257</v>
      </c>
      <c r="F100" s="1115">
        <f t="shared" si="62"/>
        <v>238972.33403445178</v>
      </c>
      <c r="G100" s="29">
        <f t="shared" si="62"/>
        <v>564522.573710775</v>
      </c>
      <c r="H100" s="1115">
        <f t="shared" si="62"/>
        <v>199004.28893247133</v>
      </c>
      <c r="I100" s="29">
        <f t="shared" si="62"/>
        <v>10704.403185056541</v>
      </c>
      <c r="J100" s="1115">
        <f t="shared" si="62"/>
        <v>10704.403185056541</v>
      </c>
      <c r="K100" s="29">
        <f t="shared" si="62"/>
        <v>305654.39599999989</v>
      </c>
      <c r="L100" s="1115">
        <f t="shared" si="62"/>
        <v>107748.54655957445</v>
      </c>
      <c r="M100" s="29">
        <f t="shared" si="62"/>
        <v>412249.45077321393</v>
      </c>
      <c r="N100" s="1115">
        <f t="shared" si="62"/>
        <v>165124.48470291664</v>
      </c>
      <c r="O100" s="29">
        <f t="shared" si="62"/>
        <v>154050.0019478242</v>
      </c>
      <c r="P100" s="1115">
        <f t="shared" si="62"/>
        <v>154050.0019478242</v>
      </c>
      <c r="Q100" s="1115">
        <f t="shared" si="62"/>
        <v>875604.05936229485</v>
      </c>
      <c r="R100" s="1115">
        <f t="shared" si="62"/>
        <v>875604.05936229508</v>
      </c>
      <c r="S100" s="29"/>
      <c r="T100" s="29">
        <f t="shared" ref="T100:AH100" si="63">SUM(T98:T99)</f>
        <v>43.75</v>
      </c>
      <c r="U100" s="29">
        <f t="shared" si="63"/>
        <v>306</v>
      </c>
      <c r="V100" s="29">
        <f t="shared" si="63"/>
        <v>262</v>
      </c>
      <c r="W100" s="1115">
        <f t="shared" si="63"/>
        <v>203716.98681508188</v>
      </c>
      <c r="X100" s="29">
        <f t="shared" si="63"/>
        <v>419089.31729419611</v>
      </c>
      <c r="Y100" s="1115">
        <f t="shared" si="63"/>
        <v>147736.46878123857</v>
      </c>
      <c r="Z100" s="29">
        <f t="shared" si="63"/>
        <v>9422.4588838617892</v>
      </c>
      <c r="AA100" s="1115">
        <f t="shared" si="63"/>
        <v>9422.4588838617892</v>
      </c>
      <c r="AB100" s="29">
        <f t="shared" si="63"/>
        <v>278390.90469798649</v>
      </c>
      <c r="AC100" s="1115">
        <f t="shared" si="63"/>
        <v>98137.686711409377</v>
      </c>
      <c r="AD100" s="29">
        <f t="shared" si="63"/>
        <v>314319.9136639472</v>
      </c>
      <c r="AE100" s="1115">
        <f t="shared" si="63"/>
        <v>125899.29150488241</v>
      </c>
      <c r="AF100" s="29">
        <f t="shared" si="63"/>
        <v>104285.58609161468</v>
      </c>
      <c r="AG100" s="1115">
        <f t="shared" si="63"/>
        <v>104285.58609161468</v>
      </c>
      <c r="AH100" s="1115">
        <f t="shared" si="63"/>
        <v>689198.47878808866</v>
      </c>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row>
    <row r="101" spans="1:92" x14ac:dyDescent="0.2">
      <c r="A101" s="1"/>
      <c r="B101" s="10"/>
      <c r="C101" s="11"/>
      <c r="D101" s="11"/>
      <c r="E101" s="11"/>
      <c r="F101" s="1114"/>
      <c r="G101" s="11"/>
      <c r="H101" s="1114"/>
      <c r="I101" s="11"/>
      <c r="J101" s="1114"/>
      <c r="K101" s="11"/>
      <c r="L101" s="1114"/>
      <c r="M101" s="11"/>
      <c r="N101" s="1114"/>
      <c r="O101" s="11"/>
      <c r="P101" s="1114"/>
      <c r="Q101" s="1114"/>
      <c r="R101" s="1114"/>
      <c r="S101" s="11"/>
      <c r="T101" s="11"/>
      <c r="U101" s="11"/>
      <c r="V101" s="11"/>
      <c r="W101" s="1114"/>
      <c r="X101" s="11"/>
      <c r="Y101" s="1114"/>
      <c r="Z101" s="11"/>
      <c r="AA101" s="1114"/>
      <c r="AB101" s="11"/>
      <c r="AC101" s="1114"/>
      <c r="AD101" s="11"/>
      <c r="AE101" s="1114"/>
      <c r="AF101" s="11"/>
      <c r="AG101" s="1114"/>
      <c r="AH101" s="1114"/>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row>
    <row r="102" spans="1:92" s="58" customFormat="1" x14ac:dyDescent="0.2">
      <c r="A102" s="1" t="s">
        <v>116</v>
      </c>
      <c r="B102" s="1" t="s">
        <v>117</v>
      </c>
      <c r="C102" s="29">
        <f t="shared" ref="C102:R102" si="64">SUM(C79+C96+C100)</f>
        <v>21967.5</v>
      </c>
      <c r="D102" s="29">
        <f t="shared" si="64"/>
        <v>8334</v>
      </c>
      <c r="E102" s="29">
        <f t="shared" si="64"/>
        <v>5616</v>
      </c>
      <c r="F102" s="1115">
        <f t="shared" si="64"/>
        <v>11560192.000824494</v>
      </c>
      <c r="G102" s="29">
        <f t="shared" si="64"/>
        <v>19096984.726803795</v>
      </c>
      <c r="H102" s="1115">
        <f t="shared" si="64"/>
        <v>6732028.1655537933</v>
      </c>
      <c r="I102" s="29">
        <f t="shared" si="64"/>
        <v>192821.16214147917</v>
      </c>
      <c r="J102" s="1115">
        <f t="shared" si="64"/>
        <v>192821.16214147917</v>
      </c>
      <c r="K102" s="29">
        <f t="shared" si="64"/>
        <v>3343610.1312070112</v>
      </c>
      <c r="L102" s="1115">
        <f t="shared" si="64"/>
        <v>1178681.33622205</v>
      </c>
      <c r="M102" s="29">
        <f t="shared" si="64"/>
        <v>4265826.0355406785</v>
      </c>
      <c r="N102" s="1115">
        <f t="shared" si="64"/>
        <v>1708655.5837243297</v>
      </c>
      <c r="O102" s="29">
        <f t="shared" si="64"/>
        <v>568469.81394798495</v>
      </c>
      <c r="P102" s="1115">
        <f t="shared" si="64"/>
        <v>568469.81394798495</v>
      </c>
      <c r="Q102" s="1115">
        <f t="shared" si="64"/>
        <v>21940848.062414136</v>
      </c>
      <c r="R102" s="1115">
        <f t="shared" si="64"/>
        <v>21940847.919813879</v>
      </c>
      <c r="S102" s="29"/>
      <c r="T102" s="29">
        <f t="shared" ref="T102:AH102" si="65">SUM(T79+T96+T100)</f>
        <v>21042.75</v>
      </c>
      <c r="U102" s="29">
        <f t="shared" si="65"/>
        <v>7634</v>
      </c>
      <c r="V102" s="29">
        <f t="shared" si="65"/>
        <v>5354</v>
      </c>
      <c r="W102" s="1115">
        <f t="shared" si="65"/>
        <v>10530047.093141222</v>
      </c>
      <c r="X102" s="29">
        <f t="shared" si="65"/>
        <v>17742138.391672775</v>
      </c>
      <c r="Y102" s="1115">
        <f t="shared" si="65"/>
        <v>6254420.6364815338</v>
      </c>
      <c r="Z102" s="29">
        <f t="shared" si="65"/>
        <v>205921.82407809046</v>
      </c>
      <c r="AA102" s="1115">
        <f t="shared" si="65"/>
        <v>205921.82407809046</v>
      </c>
      <c r="AB102" s="29">
        <f t="shared" si="65"/>
        <v>3201102.2855521487</v>
      </c>
      <c r="AC102" s="1115">
        <f t="shared" si="65"/>
        <v>1128444.8160097003</v>
      </c>
      <c r="AD102" s="29">
        <f t="shared" si="65"/>
        <v>3664003.6792418277</v>
      </c>
      <c r="AE102" s="1115">
        <f t="shared" si="65"/>
        <v>1467598.6064981529</v>
      </c>
      <c r="AF102" s="29">
        <f t="shared" si="65"/>
        <v>477793.73106487282</v>
      </c>
      <c r="AG102" s="1115">
        <f t="shared" si="65"/>
        <v>477793.73106487282</v>
      </c>
      <c r="AH102" s="1115">
        <f t="shared" si="65"/>
        <v>20064226.707273569</v>
      </c>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row>
    <row r="103" spans="1:92" x14ac:dyDescent="0.2">
      <c r="C103" s="11"/>
      <c r="D103" s="11"/>
      <c r="E103" s="11">
        <f>D102+E102</f>
        <v>13950</v>
      </c>
      <c r="F103" s="11"/>
      <c r="G103" s="11">
        <f>DEP!O101</f>
        <v>19096984.726803795</v>
      </c>
      <c r="H103" s="11"/>
      <c r="I103" s="11">
        <f>LAC!D102</f>
        <v>192821.16214147917</v>
      </c>
      <c r="J103" s="11"/>
      <c r="K103" s="11">
        <f>LCHI!D102</f>
        <v>3343610.1312070112</v>
      </c>
      <c r="L103" s="11"/>
      <c r="M103" s="11">
        <f>EAL!G101</f>
        <v>4265826.0355406785</v>
      </c>
      <c r="N103" s="11"/>
      <c r="O103" s="11">
        <f>MOB!G101</f>
        <v>568469.81394798495</v>
      </c>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row>
    <row r="104" spans="1:92" x14ac:dyDescent="0.2">
      <c r="B104" s="1" t="s">
        <v>1307</v>
      </c>
      <c r="C104" s="11"/>
      <c r="D104" s="11"/>
      <c r="E104" s="11"/>
      <c r="F104" s="11"/>
      <c r="G104" s="11"/>
      <c r="H104" s="11"/>
      <c r="I104" s="11"/>
      <c r="J104" s="11"/>
      <c r="K104" s="11"/>
      <c r="L104" s="11"/>
      <c r="M104" s="11"/>
      <c r="N104" s="11"/>
      <c r="O104" s="11"/>
      <c r="P104" s="11"/>
      <c r="Q104" s="11">
        <f>AH102</f>
        <v>20064226.707273569</v>
      </c>
      <c r="R104" s="11" t="s">
        <v>1308</v>
      </c>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row>
    <row r="105" spans="1:92" x14ac:dyDescent="0.2">
      <c r="A105" s="9"/>
      <c r="B105" s="1" t="s">
        <v>1309</v>
      </c>
      <c r="C105" s="11"/>
      <c r="D105" s="11"/>
      <c r="E105" s="11"/>
      <c r="F105" s="11"/>
      <c r="G105" s="11"/>
      <c r="H105" s="11"/>
      <c r="I105" s="11"/>
      <c r="J105" s="11"/>
      <c r="K105" s="11"/>
      <c r="L105" s="11"/>
      <c r="M105" s="11"/>
      <c r="N105" s="11"/>
      <c r="O105" s="11"/>
      <c r="P105" s="11"/>
      <c r="Q105" s="11">
        <f>R94+R77</f>
        <v>671907.4736205457</v>
      </c>
      <c r="R105" s="11" t="s">
        <v>1310</v>
      </c>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row>
    <row r="106" spans="1:92" x14ac:dyDescent="0.2">
      <c r="A106" s="9"/>
      <c r="B106" s="1" t="s">
        <v>1311</v>
      </c>
      <c r="C106" s="11"/>
      <c r="D106" s="11">
        <f>D4*D5</f>
        <v>346.85242737281237</v>
      </c>
      <c r="E106" s="11"/>
      <c r="F106" s="11"/>
      <c r="G106" s="11"/>
      <c r="H106" s="11"/>
      <c r="I106" s="11"/>
      <c r="J106" s="11"/>
      <c r="K106" s="11"/>
      <c r="L106" s="11"/>
      <c r="M106" s="11"/>
      <c r="N106" s="11"/>
      <c r="O106" s="11"/>
      <c r="P106" s="11"/>
      <c r="Q106" s="11">
        <f>Q102-Q104-Q105</f>
        <v>1204713.8815200212</v>
      </c>
      <c r="R106" s="11" t="s">
        <v>1312</v>
      </c>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row>
    <row r="107" spans="1:92" x14ac:dyDescent="0.2">
      <c r="A107" s="1"/>
      <c r="B107" s="1" t="s">
        <v>1</v>
      </c>
      <c r="C107" s="11"/>
      <c r="D107" s="11">
        <f>E4*E5</f>
        <v>345.67016020189783</v>
      </c>
      <c r="E107" s="11"/>
      <c r="F107" s="11"/>
      <c r="G107" s="11"/>
      <c r="H107" s="11"/>
      <c r="I107" s="11"/>
      <c r="J107" s="11"/>
      <c r="K107" s="11"/>
      <c r="L107" s="11"/>
      <c r="M107" s="11"/>
      <c r="N107" s="11"/>
      <c r="O107" s="11"/>
      <c r="P107" s="11"/>
      <c r="Q107" s="29">
        <f>SUM(Q104:Q106)</f>
        <v>21940848.062414136</v>
      </c>
      <c r="R107" s="11" t="s">
        <v>1313</v>
      </c>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row>
    <row r="108" spans="1:92" x14ac:dyDescent="0.2">
      <c r="A108" s="11" t="s">
        <v>1291</v>
      </c>
      <c r="D108" s="11">
        <f>D106+D107</f>
        <v>692.5225875747102</v>
      </c>
    </row>
    <row r="109" spans="1:92" x14ac:dyDescent="0.2">
      <c r="D109" s="817">
        <f>D108/E103</f>
        <v>4.9643196241914711E-2</v>
      </c>
    </row>
    <row r="110" spans="1:92" x14ac:dyDescent="0.2">
      <c r="C110" s="11"/>
      <c r="D110" s="11"/>
      <c r="E110" s="11"/>
      <c r="F110" s="11"/>
      <c r="G110" s="11"/>
      <c r="H110" s="11"/>
      <c r="I110" s="11"/>
      <c r="T110" s="11"/>
      <c r="U110" s="11"/>
      <c r="V110" s="11"/>
      <c r="W110" s="11"/>
      <c r="X110" s="11"/>
      <c r="Y110" s="11"/>
      <c r="Z110" s="11"/>
    </row>
    <row r="111" spans="1:92" x14ac:dyDescent="0.2">
      <c r="C111" s="1"/>
      <c r="D111" s="1"/>
      <c r="E111" s="1"/>
      <c r="F111" s="1"/>
      <c r="G111" s="1"/>
      <c r="H111" s="11"/>
      <c r="I111" s="11"/>
      <c r="T111" s="1"/>
      <c r="U111" s="1"/>
      <c r="V111" s="1"/>
      <c r="W111" s="1"/>
      <c r="X111" s="1"/>
      <c r="Y111" s="11"/>
      <c r="Z111" s="11"/>
    </row>
    <row r="112" spans="1:92" x14ac:dyDescent="0.2">
      <c r="C112" s="1"/>
      <c r="D112" s="1"/>
      <c r="E112" s="1"/>
      <c r="F112" s="1"/>
      <c r="G112" s="1"/>
      <c r="H112" s="11"/>
      <c r="I112" s="11"/>
      <c r="T112" s="1"/>
      <c r="U112" s="1"/>
      <c r="V112" s="1"/>
      <c r="W112" s="1"/>
      <c r="X112" s="1"/>
      <c r="Y112" s="11"/>
      <c r="Z112" s="11"/>
    </row>
    <row r="113" spans="1:26" x14ac:dyDescent="0.2">
      <c r="C113" s="1"/>
      <c r="D113" s="1"/>
      <c r="E113" s="1"/>
      <c r="F113" s="1"/>
      <c r="G113" s="1"/>
      <c r="H113" s="11"/>
      <c r="I113" s="11"/>
      <c r="T113" s="1"/>
      <c r="U113" s="1"/>
      <c r="V113" s="1"/>
      <c r="W113" s="1"/>
      <c r="X113" s="1"/>
      <c r="Y113" s="11"/>
      <c r="Z113" s="11"/>
    </row>
    <row r="114" spans="1:26" x14ac:dyDescent="0.2">
      <c r="C114" s="1"/>
      <c r="D114" s="1"/>
      <c r="E114" s="1"/>
      <c r="F114" s="1"/>
      <c r="G114" s="1"/>
      <c r="H114" s="11"/>
      <c r="I114" s="11"/>
      <c r="T114" s="1"/>
      <c r="U114" s="1"/>
      <c r="V114" s="1"/>
      <c r="W114" s="1"/>
      <c r="X114" s="1"/>
      <c r="Y114" s="11"/>
      <c r="Z114" s="11"/>
    </row>
    <row r="115" spans="1:26" x14ac:dyDescent="0.2">
      <c r="A115" s="79" t="s">
        <v>249</v>
      </c>
      <c r="B115" s="79">
        <v>206189</v>
      </c>
    </row>
    <row r="116" spans="1:26" x14ac:dyDescent="0.2">
      <c r="A116" s="1158" t="s">
        <v>10</v>
      </c>
      <c r="B116" s="94">
        <v>2012</v>
      </c>
    </row>
    <row r="117" spans="1:26" x14ac:dyDescent="0.2">
      <c r="A117" s="1158" t="s">
        <v>73</v>
      </c>
      <c r="B117" s="94">
        <v>5414</v>
      </c>
    </row>
    <row r="118" spans="1:26" x14ac:dyDescent="0.2">
      <c r="A118" s="1158" t="s">
        <v>912</v>
      </c>
      <c r="B118" s="94">
        <v>4000</v>
      </c>
    </row>
    <row r="119" spans="1:26" x14ac:dyDescent="0.2">
      <c r="A119" s="79" t="s">
        <v>11</v>
      </c>
      <c r="B119" s="79">
        <v>2443</v>
      </c>
    </row>
    <row r="120" spans="1:26" x14ac:dyDescent="0.2">
      <c r="A120" s="1158" t="s">
        <v>94</v>
      </c>
      <c r="B120" s="94">
        <v>2442</v>
      </c>
    </row>
    <row r="121" spans="1:26" x14ac:dyDescent="0.2">
      <c r="A121" s="80" t="s">
        <v>252</v>
      </c>
      <c r="B121" s="80" t="s">
        <v>253</v>
      </c>
    </row>
    <row r="122" spans="1:26" x14ac:dyDescent="0.2">
      <c r="A122" s="79" t="s">
        <v>13</v>
      </c>
      <c r="B122" s="79">
        <v>2629</v>
      </c>
    </row>
    <row r="123" spans="1:26" x14ac:dyDescent="0.2">
      <c r="A123" s="1158" t="s">
        <v>14</v>
      </c>
      <c r="B123" s="94">
        <v>2509</v>
      </c>
    </row>
    <row r="124" spans="1:26" x14ac:dyDescent="0.2">
      <c r="A124" s="79" t="s">
        <v>2</v>
      </c>
      <c r="B124" s="79">
        <v>1014</v>
      </c>
    </row>
    <row r="125" spans="1:26" x14ac:dyDescent="0.2">
      <c r="A125" s="1158" t="s">
        <v>15</v>
      </c>
      <c r="B125" s="94">
        <v>2005</v>
      </c>
    </row>
    <row r="126" spans="1:26" x14ac:dyDescent="0.2">
      <c r="A126" s="79" t="s">
        <v>16</v>
      </c>
      <c r="B126" s="79">
        <v>2464</v>
      </c>
    </row>
    <row r="127" spans="1:26" x14ac:dyDescent="0.2">
      <c r="A127" s="661" t="s">
        <v>763</v>
      </c>
      <c r="B127" s="697" t="s">
        <v>765</v>
      </c>
    </row>
    <row r="128" spans="1:26" x14ac:dyDescent="0.2">
      <c r="A128" s="79" t="s">
        <v>17</v>
      </c>
      <c r="B128" s="79">
        <v>2004</v>
      </c>
    </row>
    <row r="129" spans="1:2" x14ac:dyDescent="0.2">
      <c r="A129" s="79" t="s">
        <v>18</v>
      </c>
      <c r="B129" s="79">
        <v>2405</v>
      </c>
    </row>
    <row r="130" spans="1:2" x14ac:dyDescent="0.2">
      <c r="A130" s="79" t="s">
        <v>254</v>
      </c>
      <c r="B130" s="79" t="s">
        <v>256</v>
      </c>
    </row>
    <row r="131" spans="1:2" ht="15" x14ac:dyDescent="0.25">
      <c r="A131" s="1160" t="s">
        <v>261</v>
      </c>
      <c r="B131" s="1162" t="s">
        <v>766</v>
      </c>
    </row>
    <row r="132" spans="1:2" x14ac:dyDescent="0.2">
      <c r="A132" s="1163" t="s">
        <v>257</v>
      </c>
      <c r="B132" s="1164" t="s">
        <v>258</v>
      </c>
    </row>
    <row r="133" spans="1:2" x14ac:dyDescent="0.2">
      <c r="A133" s="1160" t="s">
        <v>259</v>
      </c>
      <c r="B133" s="1165" t="s">
        <v>260</v>
      </c>
    </row>
    <row r="134" spans="1:2" x14ac:dyDescent="0.2">
      <c r="A134" s="79" t="s">
        <v>19</v>
      </c>
      <c r="B134" s="79">
        <v>2011</v>
      </c>
    </row>
    <row r="135" spans="1:2" x14ac:dyDescent="0.2">
      <c r="A135" s="80" t="s">
        <v>262</v>
      </c>
      <c r="B135" s="80" t="s">
        <v>263</v>
      </c>
    </row>
    <row r="136" spans="1:2" x14ac:dyDescent="0.2">
      <c r="A136" s="79" t="s">
        <v>20</v>
      </c>
      <c r="B136" s="79">
        <v>5201</v>
      </c>
    </row>
    <row r="137" spans="1:2" x14ac:dyDescent="0.2">
      <c r="A137" s="79" t="s">
        <v>264</v>
      </c>
      <c r="B137" s="79">
        <v>206124</v>
      </c>
    </row>
    <row r="138" spans="1:2" x14ac:dyDescent="0.2">
      <c r="A138" s="79" t="s">
        <v>21</v>
      </c>
      <c r="B138" s="79">
        <v>2433</v>
      </c>
    </row>
    <row r="139" spans="1:2" x14ac:dyDescent="0.2">
      <c r="A139" s="1158" t="s">
        <v>22</v>
      </c>
      <c r="B139" s="94">
        <v>2432</v>
      </c>
    </row>
    <row r="140" spans="1:2" x14ac:dyDescent="0.2">
      <c r="A140" s="79" t="s">
        <v>267</v>
      </c>
      <c r="B140" s="79" t="s">
        <v>269</v>
      </c>
    </row>
    <row r="141" spans="1:2" x14ac:dyDescent="0.2">
      <c r="A141" s="79" t="s">
        <v>199</v>
      </c>
      <c r="B141" s="79">
        <v>2447</v>
      </c>
    </row>
    <row r="142" spans="1:2" x14ac:dyDescent="0.2">
      <c r="A142" s="79" t="s">
        <v>23</v>
      </c>
      <c r="B142" s="79">
        <v>2512</v>
      </c>
    </row>
    <row r="143" spans="1:2" x14ac:dyDescent="0.2">
      <c r="A143" s="79" t="s">
        <v>270</v>
      </c>
      <c r="B143" s="79">
        <v>206126</v>
      </c>
    </row>
    <row r="144" spans="1:2" x14ac:dyDescent="0.2">
      <c r="A144" s="79" t="s">
        <v>272</v>
      </c>
      <c r="B144" s="79">
        <v>206111</v>
      </c>
    </row>
    <row r="145" spans="1:2" x14ac:dyDescent="0.2">
      <c r="A145" s="79" t="s">
        <v>274</v>
      </c>
      <c r="B145" s="79">
        <v>206091</v>
      </c>
    </row>
    <row r="146" spans="1:2" x14ac:dyDescent="0.2">
      <c r="A146" s="79" t="s">
        <v>24</v>
      </c>
      <c r="B146" s="79">
        <v>2456</v>
      </c>
    </row>
    <row r="147" spans="1:2" x14ac:dyDescent="0.2">
      <c r="A147" s="79" t="s">
        <v>3</v>
      </c>
      <c r="B147" s="79">
        <v>1017</v>
      </c>
    </row>
    <row r="148" spans="1:2" x14ac:dyDescent="0.2">
      <c r="A148" s="79" t="s">
        <v>25</v>
      </c>
      <c r="B148" s="79">
        <v>2449</v>
      </c>
    </row>
    <row r="149" spans="1:2" x14ac:dyDescent="0.2">
      <c r="A149" s="1158" t="s">
        <v>26</v>
      </c>
      <c r="B149" s="79">
        <v>2448</v>
      </c>
    </row>
    <row r="150" spans="1:2" x14ac:dyDescent="0.2">
      <c r="A150" s="79" t="s">
        <v>4</v>
      </c>
      <c r="B150" s="79">
        <v>1006</v>
      </c>
    </row>
    <row r="151" spans="1:2" x14ac:dyDescent="0.2">
      <c r="A151" s="79" t="s">
        <v>27</v>
      </c>
      <c r="B151" s="79">
        <v>2467</v>
      </c>
    </row>
    <row r="152" spans="1:2" x14ac:dyDescent="0.2">
      <c r="A152" s="1158" t="s">
        <v>75</v>
      </c>
      <c r="B152" s="94">
        <v>5402</v>
      </c>
    </row>
    <row r="153" spans="1:2" x14ac:dyDescent="0.2">
      <c r="A153" s="1158" t="s">
        <v>28</v>
      </c>
      <c r="B153" s="94">
        <v>2455</v>
      </c>
    </row>
    <row r="154" spans="1:2" x14ac:dyDescent="0.2">
      <c r="A154" s="1158" t="s">
        <v>29</v>
      </c>
      <c r="B154" s="94">
        <v>5203</v>
      </c>
    </row>
    <row r="155" spans="1:2" x14ac:dyDescent="0.2">
      <c r="A155" s="107" t="s">
        <v>30</v>
      </c>
      <c r="B155" s="79">
        <v>2451</v>
      </c>
    </row>
    <row r="156" spans="1:2" x14ac:dyDescent="0.2">
      <c r="A156" s="80" t="s">
        <v>276</v>
      </c>
      <c r="B156" s="80" t="s">
        <v>277</v>
      </c>
    </row>
    <row r="157" spans="1:2" x14ac:dyDescent="0.2">
      <c r="A157" s="79" t="s">
        <v>278</v>
      </c>
      <c r="B157" s="79">
        <v>206128</v>
      </c>
    </row>
    <row r="158" spans="1:2" x14ac:dyDescent="0.2">
      <c r="A158" s="1158" t="s">
        <v>452</v>
      </c>
      <c r="B158" s="94">
        <v>4002</v>
      </c>
    </row>
    <row r="159" spans="1:2" x14ac:dyDescent="0.2">
      <c r="A159" s="456" t="s">
        <v>455</v>
      </c>
      <c r="B159" s="79">
        <v>2430</v>
      </c>
    </row>
    <row r="160" spans="1:2" x14ac:dyDescent="0.2">
      <c r="A160" s="1167" t="s">
        <v>768</v>
      </c>
      <c r="B160" s="1169" t="s">
        <v>769</v>
      </c>
    </row>
    <row r="161" spans="1:2" x14ac:dyDescent="0.2">
      <c r="A161" s="1158" t="s">
        <v>68</v>
      </c>
      <c r="B161" s="94">
        <v>4608</v>
      </c>
    </row>
    <row r="162" spans="1:2" x14ac:dyDescent="0.2">
      <c r="A162" s="1158" t="s">
        <v>31</v>
      </c>
      <c r="B162" s="94">
        <v>2409</v>
      </c>
    </row>
    <row r="163" spans="1:2" x14ac:dyDescent="0.2">
      <c r="A163" s="1170" t="s">
        <v>281</v>
      </c>
      <c r="B163" s="1168" t="s">
        <v>282</v>
      </c>
    </row>
    <row r="164" spans="1:2" x14ac:dyDescent="0.2">
      <c r="A164" s="1171" t="s">
        <v>1401</v>
      </c>
      <c r="B164" s="1173" t="s">
        <v>771</v>
      </c>
    </row>
    <row r="165" spans="1:2" x14ac:dyDescent="0.2">
      <c r="A165" s="1174" t="s">
        <v>539</v>
      </c>
      <c r="B165" s="96">
        <v>205921</v>
      </c>
    </row>
    <row r="166" spans="1:2" x14ac:dyDescent="0.2">
      <c r="A166" s="1171" t="s">
        <v>1372</v>
      </c>
      <c r="B166" s="1154" t="s">
        <v>776</v>
      </c>
    </row>
    <row r="167" spans="1:2" x14ac:dyDescent="0.2">
      <c r="A167" s="1174" t="s">
        <v>538</v>
      </c>
      <c r="B167" s="96">
        <v>205999</v>
      </c>
    </row>
    <row r="168" spans="1:2" x14ac:dyDescent="0.2">
      <c r="A168" s="96" t="s">
        <v>537</v>
      </c>
      <c r="B168" s="95" t="s">
        <v>283</v>
      </c>
    </row>
    <row r="169" spans="1:2" x14ac:dyDescent="0.2">
      <c r="A169" s="1171" t="s">
        <v>1373</v>
      </c>
      <c r="B169" s="1153">
        <v>206065</v>
      </c>
    </row>
    <row r="170" spans="1:2" x14ac:dyDescent="0.2">
      <c r="A170" s="1175" t="s">
        <v>1375</v>
      </c>
      <c r="B170" s="1154" t="s">
        <v>787</v>
      </c>
    </row>
    <row r="171" spans="1:2" x14ac:dyDescent="0.2">
      <c r="A171" s="456" t="s">
        <v>589</v>
      </c>
      <c r="B171" s="1176" t="s">
        <v>288</v>
      </c>
    </row>
    <row r="172" spans="1:2" x14ac:dyDescent="0.2">
      <c r="A172" s="1177" t="s">
        <v>540</v>
      </c>
      <c r="B172" s="96">
        <v>205922</v>
      </c>
    </row>
    <row r="173" spans="1:2" x14ac:dyDescent="0.2">
      <c r="A173" s="456" t="s">
        <v>587</v>
      </c>
      <c r="B173" s="1154" t="s">
        <v>784</v>
      </c>
    </row>
    <row r="174" spans="1:2" x14ac:dyDescent="0.2">
      <c r="A174" s="1171" t="s">
        <v>1374</v>
      </c>
      <c r="B174" s="1154" t="s">
        <v>781</v>
      </c>
    </row>
    <row r="175" spans="1:2" x14ac:dyDescent="0.2">
      <c r="A175" s="1171" t="s">
        <v>1376</v>
      </c>
      <c r="B175" s="1178">
        <v>205919</v>
      </c>
    </row>
    <row r="176" spans="1:2" x14ac:dyDescent="0.2">
      <c r="A176" s="96" t="s">
        <v>541</v>
      </c>
      <c r="B176" s="95" t="s">
        <v>287</v>
      </c>
    </row>
    <row r="177" spans="1:2" x14ac:dyDescent="0.2">
      <c r="A177" s="1171" t="s">
        <v>1377</v>
      </c>
      <c r="B177" s="1179" t="s">
        <v>791</v>
      </c>
    </row>
    <row r="178" spans="1:2" x14ac:dyDescent="0.2">
      <c r="A178" s="1171" t="s">
        <v>1378</v>
      </c>
      <c r="B178" s="1169" t="s">
        <v>793</v>
      </c>
    </row>
    <row r="179" spans="1:2" x14ac:dyDescent="0.2">
      <c r="A179" s="1180" t="s">
        <v>1380</v>
      </c>
      <c r="B179" s="1154" t="s">
        <v>796</v>
      </c>
    </row>
    <row r="180" spans="1:2" x14ac:dyDescent="0.2">
      <c r="A180" s="1181" t="s">
        <v>1379</v>
      </c>
      <c r="B180" s="697">
        <v>205849</v>
      </c>
    </row>
    <row r="181" spans="1:2" x14ac:dyDescent="0.2">
      <c r="A181" s="456" t="s">
        <v>594</v>
      </c>
      <c r="B181" s="1176" t="s">
        <v>284</v>
      </c>
    </row>
    <row r="182" spans="1:2" x14ac:dyDescent="0.2">
      <c r="A182" s="1182" t="s">
        <v>1381</v>
      </c>
      <c r="B182" s="1154" t="s">
        <v>798</v>
      </c>
    </row>
    <row r="183" spans="1:2" x14ac:dyDescent="0.2">
      <c r="A183" s="1183" t="s">
        <v>1385</v>
      </c>
      <c r="B183" s="1184">
        <v>205922</v>
      </c>
    </row>
    <row r="184" spans="1:2" x14ac:dyDescent="0.2">
      <c r="A184" s="1185" t="s">
        <v>1384</v>
      </c>
      <c r="B184" s="1179">
        <v>205881</v>
      </c>
    </row>
    <row r="185" spans="1:2" x14ac:dyDescent="0.2">
      <c r="A185" s="1186" t="s">
        <v>1382</v>
      </c>
      <c r="B185" s="1187" t="s">
        <v>801</v>
      </c>
    </row>
    <row r="186" spans="1:2" x14ac:dyDescent="0.2">
      <c r="A186" s="1174" t="s">
        <v>542</v>
      </c>
      <c r="B186" s="96" t="s">
        <v>289</v>
      </c>
    </row>
    <row r="187" spans="1:2" x14ac:dyDescent="0.2">
      <c r="A187" s="1171" t="s">
        <v>1383</v>
      </c>
      <c r="B187" s="1179" t="s">
        <v>806</v>
      </c>
    </row>
    <row r="188" spans="1:2" x14ac:dyDescent="0.2">
      <c r="A188" s="1185" t="s">
        <v>807</v>
      </c>
      <c r="B188" s="1179" t="s">
        <v>808</v>
      </c>
    </row>
    <row r="189" spans="1:2" x14ac:dyDescent="0.2">
      <c r="A189" s="1185" t="s">
        <v>1386</v>
      </c>
      <c r="B189" s="1189" t="s">
        <v>811</v>
      </c>
    </row>
    <row r="190" spans="1:2" x14ac:dyDescent="0.2">
      <c r="A190" s="1181" t="s">
        <v>543</v>
      </c>
      <c r="B190" s="96">
        <v>2</v>
      </c>
    </row>
    <row r="191" spans="1:2" x14ac:dyDescent="0.2">
      <c r="A191" s="1192" t="s">
        <v>1387</v>
      </c>
      <c r="B191" s="1150" t="s">
        <v>668</v>
      </c>
    </row>
    <row r="192" spans="1:2" x14ac:dyDescent="0.2">
      <c r="A192" s="693" t="s">
        <v>1388</v>
      </c>
      <c r="B192" s="1179" t="s">
        <v>686</v>
      </c>
    </row>
    <row r="193" spans="1:2" x14ac:dyDescent="0.2">
      <c r="A193" s="96" t="s">
        <v>544</v>
      </c>
      <c r="B193" s="1184">
        <v>205956</v>
      </c>
    </row>
    <row r="194" spans="1:2" x14ac:dyDescent="0.2">
      <c r="A194" s="702" t="s">
        <v>1389</v>
      </c>
      <c r="B194" s="1169">
        <v>260849</v>
      </c>
    </row>
    <row r="195" spans="1:2" x14ac:dyDescent="0.2">
      <c r="A195" s="693" t="s">
        <v>1390</v>
      </c>
      <c r="B195" s="1169" t="s">
        <v>818</v>
      </c>
    </row>
    <row r="196" spans="1:2" x14ac:dyDescent="0.2">
      <c r="A196" s="1193" t="s">
        <v>1391</v>
      </c>
      <c r="B196" s="1165" t="s">
        <v>291</v>
      </c>
    </row>
    <row r="197" spans="1:2" x14ac:dyDescent="0.2">
      <c r="A197" s="1145" t="s">
        <v>1392</v>
      </c>
      <c r="B197" s="1154" t="s">
        <v>821</v>
      </c>
    </row>
    <row r="198" spans="1:2" x14ac:dyDescent="0.2">
      <c r="A198" s="1142" t="s">
        <v>1394</v>
      </c>
      <c r="B198" s="1154" t="s">
        <v>825</v>
      </c>
    </row>
    <row r="199" spans="1:2" x14ac:dyDescent="0.2">
      <c r="A199" s="1142" t="s">
        <v>1393</v>
      </c>
      <c r="B199" s="1189" t="s">
        <v>823</v>
      </c>
    </row>
    <row r="200" spans="1:2" x14ac:dyDescent="0.2">
      <c r="A200" s="583" t="s">
        <v>1396</v>
      </c>
      <c r="B200" s="1154" t="s">
        <v>830</v>
      </c>
    </row>
    <row r="201" spans="1:2" x14ac:dyDescent="0.2">
      <c r="A201" s="1143" t="s">
        <v>1395</v>
      </c>
      <c r="B201" s="1154" t="s">
        <v>827</v>
      </c>
    </row>
    <row r="202" spans="1:2" x14ac:dyDescent="0.2">
      <c r="A202" s="1181" t="s">
        <v>591</v>
      </c>
      <c r="B202" s="95" t="s">
        <v>293</v>
      </c>
    </row>
    <row r="203" spans="1:2" x14ac:dyDescent="0.2">
      <c r="A203" s="1142" t="s">
        <v>1402</v>
      </c>
      <c r="B203" s="697" t="s">
        <v>833</v>
      </c>
    </row>
    <row r="204" spans="1:2" x14ac:dyDescent="0.2">
      <c r="A204" s="1142" t="s">
        <v>1403</v>
      </c>
      <c r="B204" s="1154" t="s">
        <v>835</v>
      </c>
    </row>
    <row r="205" spans="1:2" x14ac:dyDescent="0.2">
      <c r="A205" s="1174" t="s">
        <v>547</v>
      </c>
      <c r="B205" s="95" t="s">
        <v>295</v>
      </c>
    </row>
    <row r="206" spans="1:2" x14ac:dyDescent="0.2">
      <c r="A206" s="1148" t="s">
        <v>1397</v>
      </c>
      <c r="B206" s="1154">
        <v>206031</v>
      </c>
    </row>
    <row r="207" spans="1:2" x14ac:dyDescent="0.2">
      <c r="A207" s="1174" t="s">
        <v>546</v>
      </c>
      <c r="B207" s="95" t="s">
        <v>296</v>
      </c>
    </row>
    <row r="208" spans="1:2" x14ac:dyDescent="0.2">
      <c r="A208" s="96" t="s">
        <v>545</v>
      </c>
      <c r="B208" s="95" t="s">
        <v>294</v>
      </c>
    </row>
    <row r="209" spans="1:2" x14ac:dyDescent="0.2">
      <c r="A209" s="1143" t="s">
        <v>1398</v>
      </c>
      <c r="B209" s="1154" t="s">
        <v>840</v>
      </c>
    </row>
    <row r="210" spans="1:2" x14ac:dyDescent="0.2">
      <c r="A210" s="96" t="s">
        <v>1371</v>
      </c>
      <c r="B210" s="95" t="s">
        <v>298</v>
      </c>
    </row>
    <row r="211" spans="1:2" x14ac:dyDescent="0.2">
      <c r="A211" s="1143" t="s">
        <v>1407</v>
      </c>
      <c r="B211" s="1179" t="s">
        <v>844</v>
      </c>
    </row>
    <row r="212" spans="1:2" x14ac:dyDescent="0.2">
      <c r="A212" s="1181" t="s">
        <v>592</v>
      </c>
      <c r="B212" s="1184">
        <v>206043</v>
      </c>
    </row>
    <row r="213" spans="1:2" x14ac:dyDescent="0.2">
      <c r="A213" s="1177" t="s">
        <v>548</v>
      </c>
      <c r="B213" s="95" t="s">
        <v>299</v>
      </c>
    </row>
    <row r="214" spans="1:2" x14ac:dyDescent="0.2">
      <c r="A214" s="1194" t="s">
        <v>590</v>
      </c>
      <c r="B214" s="1195" t="s">
        <v>292</v>
      </c>
    </row>
    <row r="215" spans="1:2" x14ac:dyDescent="0.2">
      <c r="A215" s="1196" t="s">
        <v>593</v>
      </c>
      <c r="B215" s="1197" t="s">
        <v>297</v>
      </c>
    </row>
    <row r="216" spans="1:2" x14ac:dyDescent="0.2">
      <c r="A216" s="1143" t="s">
        <v>1406</v>
      </c>
      <c r="B216" s="1154">
        <v>206067</v>
      </c>
    </row>
    <row r="217" spans="1:2" ht="15" x14ac:dyDescent="0.2">
      <c r="A217" s="1177" t="s">
        <v>549</v>
      </c>
      <c r="B217" s="97" t="s">
        <v>300</v>
      </c>
    </row>
    <row r="218" spans="1:2" x14ac:dyDescent="0.2">
      <c r="A218" s="1190" t="s">
        <v>1400</v>
      </c>
      <c r="B218" s="1191" t="s">
        <v>290</v>
      </c>
    </row>
    <row r="219" spans="1:2" x14ac:dyDescent="0.2">
      <c r="A219" s="1198" t="s">
        <v>550</v>
      </c>
      <c r="B219" s="98" t="s">
        <v>301</v>
      </c>
    </row>
    <row r="220" spans="1:2" x14ac:dyDescent="0.2">
      <c r="A220" s="1147" t="s">
        <v>1404</v>
      </c>
      <c r="B220" s="1209" t="s">
        <v>854</v>
      </c>
    </row>
    <row r="221" spans="1:2" x14ac:dyDescent="0.2">
      <c r="A221" s="456" t="s">
        <v>595</v>
      </c>
      <c r="B221" s="1176" t="s">
        <v>285</v>
      </c>
    </row>
    <row r="222" spans="1:2" x14ac:dyDescent="0.2">
      <c r="A222" s="1147" t="s">
        <v>1405</v>
      </c>
      <c r="B222" s="1209" t="s">
        <v>856</v>
      </c>
    </row>
    <row r="223" spans="1:2" x14ac:dyDescent="0.2">
      <c r="A223" s="87" t="s">
        <v>302</v>
      </c>
      <c r="B223" s="88" t="s">
        <v>303</v>
      </c>
    </row>
    <row r="224" spans="1:2" x14ac:dyDescent="0.2">
      <c r="A224" s="79" t="s">
        <v>304</v>
      </c>
      <c r="B224" s="79" t="s">
        <v>306</v>
      </c>
    </row>
    <row r="225" spans="1:2" x14ac:dyDescent="0.2">
      <c r="A225" s="1144" t="s">
        <v>858</v>
      </c>
      <c r="B225" s="1169" t="s">
        <v>859</v>
      </c>
    </row>
    <row r="226" spans="1:2" x14ac:dyDescent="0.2">
      <c r="A226" s="1158" t="s">
        <v>111</v>
      </c>
      <c r="B226" s="94">
        <v>4178</v>
      </c>
    </row>
    <row r="227" spans="1:2" x14ac:dyDescent="0.2">
      <c r="A227" s="1158" t="s">
        <v>98</v>
      </c>
      <c r="B227" s="94">
        <v>3158</v>
      </c>
    </row>
    <row r="228" spans="1:2" x14ac:dyDescent="0.2">
      <c r="A228" s="79" t="s">
        <v>32</v>
      </c>
      <c r="B228" s="79">
        <v>2619</v>
      </c>
    </row>
    <row r="229" spans="1:2" x14ac:dyDescent="0.2">
      <c r="A229" s="1141" t="s">
        <v>860</v>
      </c>
      <c r="B229" s="1154" t="s">
        <v>861</v>
      </c>
    </row>
    <row r="230" spans="1:2" x14ac:dyDescent="0.2">
      <c r="A230" s="79" t="s">
        <v>307</v>
      </c>
      <c r="B230" s="80" t="s">
        <v>308</v>
      </c>
    </row>
    <row r="231" spans="1:2" x14ac:dyDescent="0.2">
      <c r="A231" s="79" t="s">
        <v>309</v>
      </c>
      <c r="B231" s="79">
        <v>258417</v>
      </c>
    </row>
    <row r="232" spans="1:2" x14ac:dyDescent="0.2">
      <c r="A232" s="79" t="s">
        <v>311</v>
      </c>
      <c r="B232" s="79" t="s">
        <v>313</v>
      </c>
    </row>
    <row r="233" spans="1:2" x14ac:dyDescent="0.2">
      <c r="A233" s="79" t="s">
        <v>314</v>
      </c>
      <c r="B233" s="79" t="s">
        <v>316</v>
      </c>
    </row>
    <row r="234" spans="1:2" x14ac:dyDescent="0.2">
      <c r="A234" s="79" t="s">
        <v>33</v>
      </c>
      <c r="B234" s="79">
        <v>2518</v>
      </c>
    </row>
    <row r="235" spans="1:2" x14ac:dyDescent="0.2">
      <c r="A235" s="1141" t="s">
        <v>862</v>
      </c>
      <c r="B235" s="1210" t="s">
        <v>863</v>
      </c>
    </row>
    <row r="236" spans="1:2" x14ac:dyDescent="0.2">
      <c r="A236" s="79" t="s">
        <v>317</v>
      </c>
      <c r="B236" s="79">
        <v>206106</v>
      </c>
    </row>
    <row r="237" spans="1:2" x14ac:dyDescent="0.2">
      <c r="A237" s="80" t="s">
        <v>319</v>
      </c>
      <c r="B237" s="80" t="s">
        <v>320</v>
      </c>
    </row>
    <row r="238" spans="1:2" x14ac:dyDescent="0.2">
      <c r="A238" s="1144" t="s">
        <v>864</v>
      </c>
      <c r="B238" s="1169" t="s">
        <v>865</v>
      </c>
    </row>
    <row r="239" spans="1:2" x14ac:dyDescent="0.2">
      <c r="A239" s="1158" t="s">
        <v>34</v>
      </c>
      <c r="B239" s="94">
        <v>2457</v>
      </c>
    </row>
    <row r="240" spans="1:2" x14ac:dyDescent="0.2">
      <c r="A240" s="1158" t="s">
        <v>99</v>
      </c>
      <c r="B240" s="79">
        <v>2010</v>
      </c>
    </row>
    <row r="241" spans="1:2" x14ac:dyDescent="0.2">
      <c r="A241" s="79" t="s">
        <v>35</v>
      </c>
      <c r="B241" s="79">
        <v>2002</v>
      </c>
    </row>
    <row r="242" spans="1:2" x14ac:dyDescent="0.2">
      <c r="A242" s="79" t="s">
        <v>36</v>
      </c>
      <c r="B242" s="79">
        <v>3544</v>
      </c>
    </row>
    <row r="243" spans="1:2" x14ac:dyDescent="0.2">
      <c r="A243" s="79" t="s">
        <v>5</v>
      </c>
      <c r="B243" s="79">
        <v>1008</v>
      </c>
    </row>
    <row r="244" spans="1:2" x14ac:dyDescent="0.2">
      <c r="A244" s="79" t="s">
        <v>321</v>
      </c>
      <c r="B244" s="79" t="s">
        <v>322</v>
      </c>
    </row>
    <row r="245" spans="1:2" x14ac:dyDescent="0.2">
      <c r="A245" s="79" t="s">
        <v>100</v>
      </c>
      <c r="B245" s="79">
        <v>2006</v>
      </c>
    </row>
    <row r="246" spans="1:2" x14ac:dyDescent="0.2">
      <c r="A246" s="80" t="s">
        <v>323</v>
      </c>
      <c r="B246" s="80" t="s">
        <v>324</v>
      </c>
    </row>
    <row r="247" spans="1:2" x14ac:dyDescent="0.2">
      <c r="A247" s="79" t="s">
        <v>325</v>
      </c>
      <c r="B247" s="79">
        <v>206133</v>
      </c>
    </row>
    <row r="248" spans="1:2" x14ac:dyDescent="0.2">
      <c r="A248" s="1149" t="s">
        <v>867</v>
      </c>
      <c r="B248" s="1169" t="s">
        <v>868</v>
      </c>
    </row>
    <row r="249" spans="1:2" x14ac:dyDescent="0.2">
      <c r="A249" s="79" t="s">
        <v>327</v>
      </c>
      <c r="B249" s="79" t="s">
        <v>329</v>
      </c>
    </row>
    <row r="250" spans="1:2" x14ac:dyDescent="0.2">
      <c r="A250" s="79" t="s">
        <v>330</v>
      </c>
      <c r="B250" s="79">
        <v>206134</v>
      </c>
    </row>
    <row r="251" spans="1:2" x14ac:dyDescent="0.2">
      <c r="A251" s="79" t="s">
        <v>334</v>
      </c>
      <c r="B251" s="79" t="s">
        <v>335</v>
      </c>
    </row>
    <row r="252" spans="1:2" x14ac:dyDescent="0.2">
      <c r="A252" s="1199" t="s">
        <v>332</v>
      </c>
      <c r="B252" s="1200" t="s">
        <v>333</v>
      </c>
    </row>
    <row r="253" spans="1:2" x14ac:dyDescent="0.2">
      <c r="A253" s="79" t="s">
        <v>336</v>
      </c>
      <c r="B253" s="79" t="s">
        <v>337</v>
      </c>
    </row>
    <row r="254" spans="1:2" x14ac:dyDescent="0.2">
      <c r="A254" s="79" t="s">
        <v>338</v>
      </c>
      <c r="B254" s="79">
        <v>206109</v>
      </c>
    </row>
    <row r="255" spans="1:2" x14ac:dyDescent="0.2">
      <c r="A255" s="79" t="s">
        <v>37</v>
      </c>
      <c r="B255" s="79">
        <v>2434</v>
      </c>
    </row>
    <row r="256" spans="1:2" x14ac:dyDescent="0.2">
      <c r="A256" s="1161" t="s">
        <v>597</v>
      </c>
      <c r="B256" s="147">
        <v>6905</v>
      </c>
    </row>
    <row r="257" spans="1:2" x14ac:dyDescent="0.2">
      <c r="A257" s="1158" t="s">
        <v>42</v>
      </c>
      <c r="B257" s="94">
        <v>2009</v>
      </c>
    </row>
    <row r="258" spans="1:2" x14ac:dyDescent="0.2">
      <c r="A258" s="1158" t="s">
        <v>38</v>
      </c>
      <c r="B258" s="94">
        <v>2522</v>
      </c>
    </row>
    <row r="259" spans="1:2" x14ac:dyDescent="0.2">
      <c r="A259" s="79" t="s">
        <v>340</v>
      </c>
      <c r="B259" s="79">
        <v>206110</v>
      </c>
    </row>
    <row r="260" spans="1:2" x14ac:dyDescent="0.2">
      <c r="A260" s="79" t="s">
        <v>342</v>
      </c>
      <c r="B260" s="79">
        <v>206135</v>
      </c>
    </row>
    <row r="261" spans="1:2" x14ac:dyDescent="0.2">
      <c r="A261" s="1158" t="s">
        <v>69</v>
      </c>
      <c r="B261" s="94">
        <v>4181</v>
      </c>
    </row>
    <row r="262" spans="1:2" x14ac:dyDescent="0.2">
      <c r="A262" s="79" t="s">
        <v>344</v>
      </c>
      <c r="B262" s="79">
        <v>509195</v>
      </c>
    </row>
    <row r="263" spans="1:2" x14ac:dyDescent="0.2">
      <c r="A263" s="87" t="s">
        <v>346</v>
      </c>
      <c r="B263" s="88" t="s">
        <v>347</v>
      </c>
    </row>
    <row r="264" spans="1:2" x14ac:dyDescent="0.2">
      <c r="A264" s="1201" t="s">
        <v>348</v>
      </c>
      <c r="B264" s="1202" t="s">
        <v>349</v>
      </c>
    </row>
    <row r="265" spans="1:2" x14ac:dyDescent="0.2">
      <c r="A265" s="79" t="s">
        <v>350</v>
      </c>
      <c r="B265" s="79" t="s">
        <v>352</v>
      </c>
    </row>
    <row r="266" spans="1:2" x14ac:dyDescent="0.2">
      <c r="A266" s="79" t="s">
        <v>353</v>
      </c>
      <c r="B266" s="79">
        <v>509199</v>
      </c>
    </row>
    <row r="267" spans="1:2" x14ac:dyDescent="0.2">
      <c r="A267" s="79" t="s">
        <v>355</v>
      </c>
      <c r="B267" s="79">
        <v>509197</v>
      </c>
    </row>
    <row r="268" spans="1:2" x14ac:dyDescent="0.2">
      <c r="A268" s="1151" t="s">
        <v>870</v>
      </c>
      <c r="B268" s="1211">
        <v>479383</v>
      </c>
    </row>
    <row r="269" spans="1:2" x14ac:dyDescent="0.2">
      <c r="A269" s="1170" t="s">
        <v>360</v>
      </c>
      <c r="B269" s="1168" t="s">
        <v>361</v>
      </c>
    </row>
    <row r="270" spans="1:2" x14ac:dyDescent="0.2">
      <c r="A270" s="1158" t="s">
        <v>70</v>
      </c>
      <c r="B270" s="94">
        <v>4182</v>
      </c>
    </row>
    <row r="271" spans="1:2" x14ac:dyDescent="0.2">
      <c r="A271" s="79" t="s">
        <v>357</v>
      </c>
      <c r="B271" s="79" t="s">
        <v>359</v>
      </c>
    </row>
    <row r="272" spans="1:2" x14ac:dyDescent="0.2">
      <c r="A272" s="79" t="s">
        <v>6</v>
      </c>
      <c r="B272" s="79">
        <v>1005</v>
      </c>
    </row>
    <row r="273" spans="1:2" x14ac:dyDescent="0.2">
      <c r="A273" s="489" t="s">
        <v>871</v>
      </c>
      <c r="B273" s="1179" t="s">
        <v>872</v>
      </c>
    </row>
    <row r="274" spans="1:2" x14ac:dyDescent="0.2">
      <c r="A274" s="1158" t="s">
        <v>39</v>
      </c>
      <c r="B274" s="94">
        <v>2436</v>
      </c>
    </row>
    <row r="275" spans="1:2" x14ac:dyDescent="0.2">
      <c r="A275" s="79" t="s">
        <v>362</v>
      </c>
      <c r="B275" s="79">
        <v>206117</v>
      </c>
    </row>
    <row r="276" spans="1:2" x14ac:dyDescent="0.2">
      <c r="A276" s="79" t="s">
        <v>40</v>
      </c>
      <c r="B276" s="79">
        <v>2452</v>
      </c>
    </row>
    <row r="277" spans="1:2" x14ac:dyDescent="0.2">
      <c r="A277" s="1158" t="s">
        <v>71</v>
      </c>
      <c r="B277" s="94">
        <v>4001</v>
      </c>
    </row>
    <row r="278" spans="1:2" x14ac:dyDescent="0.2">
      <c r="A278" s="79" t="s">
        <v>364</v>
      </c>
      <c r="B278" s="79">
        <v>206141</v>
      </c>
    </row>
    <row r="279" spans="1:2" x14ac:dyDescent="0.2">
      <c r="A279" s="1158" t="s">
        <v>41</v>
      </c>
      <c r="B279" s="94">
        <v>2627</v>
      </c>
    </row>
    <row r="280" spans="1:2" x14ac:dyDescent="0.2">
      <c r="A280" s="1158" t="s">
        <v>112</v>
      </c>
      <c r="B280" s="94">
        <v>5406</v>
      </c>
    </row>
    <row r="281" spans="1:2" x14ac:dyDescent="0.2">
      <c r="A281" s="1158" t="s">
        <v>113</v>
      </c>
      <c r="B281" s="94">
        <v>5407</v>
      </c>
    </row>
    <row r="282" spans="1:2" x14ac:dyDescent="0.2">
      <c r="A282" s="79" t="s">
        <v>366</v>
      </c>
      <c r="B282" s="79" t="s">
        <v>368</v>
      </c>
    </row>
    <row r="283" spans="1:2" x14ac:dyDescent="0.2">
      <c r="A283" s="79" t="s">
        <v>369</v>
      </c>
      <c r="B283" s="79">
        <v>258404</v>
      </c>
    </row>
    <row r="284" spans="1:2" x14ac:dyDescent="0.2">
      <c r="A284" s="1158" t="s">
        <v>101</v>
      </c>
      <c r="B284" s="79">
        <v>2473</v>
      </c>
    </row>
    <row r="285" spans="1:2" x14ac:dyDescent="0.2">
      <c r="A285" s="1158" t="s">
        <v>44</v>
      </c>
      <c r="B285" s="94">
        <v>2471</v>
      </c>
    </row>
    <row r="286" spans="1:2" x14ac:dyDescent="0.2">
      <c r="A286" s="79" t="s">
        <v>371</v>
      </c>
      <c r="B286" s="79">
        <v>258405</v>
      </c>
    </row>
    <row r="287" spans="1:2" x14ac:dyDescent="0.2">
      <c r="A287" s="79" t="s">
        <v>373</v>
      </c>
      <c r="B287" s="79">
        <v>258406</v>
      </c>
    </row>
    <row r="288" spans="1:2" x14ac:dyDescent="0.2">
      <c r="A288" s="79" t="s">
        <v>43</v>
      </c>
      <c r="B288" s="79">
        <v>2420</v>
      </c>
    </row>
    <row r="289" spans="1:2" x14ac:dyDescent="0.2">
      <c r="A289" s="79" t="s">
        <v>375</v>
      </c>
      <c r="B289" s="79">
        <v>206160</v>
      </c>
    </row>
    <row r="290" spans="1:2" x14ac:dyDescent="0.2">
      <c r="A290" s="79" t="s">
        <v>45</v>
      </c>
      <c r="B290" s="79">
        <v>2003</v>
      </c>
    </row>
    <row r="291" spans="1:2" x14ac:dyDescent="0.2">
      <c r="A291" s="1158" t="s">
        <v>46</v>
      </c>
      <c r="B291" s="94">
        <v>2423</v>
      </c>
    </row>
    <row r="292" spans="1:2" x14ac:dyDescent="0.2">
      <c r="A292" s="1158" t="s">
        <v>47</v>
      </c>
      <c r="B292" s="94">
        <v>2424</v>
      </c>
    </row>
    <row r="293" spans="1:2" x14ac:dyDescent="0.2">
      <c r="A293" s="79" t="s">
        <v>377</v>
      </c>
      <c r="B293" s="79" t="s">
        <v>379</v>
      </c>
    </row>
    <row r="294" spans="1:2" x14ac:dyDescent="0.2">
      <c r="A294" s="726" t="s">
        <v>873</v>
      </c>
      <c r="B294" s="1179" t="s">
        <v>874</v>
      </c>
    </row>
    <row r="295" spans="1:2" x14ac:dyDescent="0.2">
      <c r="A295" s="79" t="s">
        <v>382</v>
      </c>
      <c r="B295" s="79" t="s">
        <v>384</v>
      </c>
    </row>
    <row r="296" spans="1:2" x14ac:dyDescent="0.2">
      <c r="A296" s="79" t="s">
        <v>385</v>
      </c>
      <c r="B296" s="79">
        <v>206146</v>
      </c>
    </row>
    <row r="297" spans="1:2" x14ac:dyDescent="0.2">
      <c r="A297" s="1158" t="s">
        <v>48</v>
      </c>
      <c r="B297" s="94">
        <v>2439</v>
      </c>
    </row>
    <row r="298" spans="1:2" x14ac:dyDescent="0.2">
      <c r="A298" s="1158" t="s">
        <v>49</v>
      </c>
      <c r="B298" s="94">
        <v>2440</v>
      </c>
    </row>
    <row r="299" spans="1:2" x14ac:dyDescent="0.2">
      <c r="A299" s="80" t="s">
        <v>387</v>
      </c>
      <c r="B299" s="80" t="s">
        <v>388</v>
      </c>
    </row>
    <row r="300" spans="1:2" x14ac:dyDescent="0.2">
      <c r="A300" s="1158" t="s">
        <v>102</v>
      </c>
      <c r="B300" s="79">
        <v>2462</v>
      </c>
    </row>
    <row r="301" spans="1:2" x14ac:dyDescent="0.2">
      <c r="A301" s="1158" t="s">
        <v>50</v>
      </c>
      <c r="B301" s="94">
        <v>2463</v>
      </c>
    </row>
    <row r="302" spans="1:2" x14ac:dyDescent="0.2">
      <c r="A302" s="79" t="s">
        <v>51</v>
      </c>
      <c r="B302" s="79">
        <v>2505</v>
      </c>
    </row>
    <row r="303" spans="1:2" x14ac:dyDescent="0.2">
      <c r="A303" s="79" t="s">
        <v>52</v>
      </c>
      <c r="B303" s="79">
        <v>2000</v>
      </c>
    </row>
    <row r="304" spans="1:2" x14ac:dyDescent="0.2">
      <c r="A304" s="1158" t="s">
        <v>53</v>
      </c>
      <c r="B304" s="94">
        <v>2458</v>
      </c>
    </row>
    <row r="305" spans="1:2" x14ac:dyDescent="0.2">
      <c r="A305" s="79" t="s">
        <v>392</v>
      </c>
      <c r="B305" s="79" t="s">
        <v>394</v>
      </c>
    </row>
    <row r="306" spans="1:2" x14ac:dyDescent="0.2">
      <c r="A306" s="79" t="s">
        <v>54</v>
      </c>
      <c r="B306" s="79">
        <v>2001</v>
      </c>
    </row>
    <row r="307" spans="1:2" x14ac:dyDescent="0.2">
      <c r="A307" s="80" t="s">
        <v>395</v>
      </c>
      <c r="B307" s="80" t="s">
        <v>396</v>
      </c>
    </row>
    <row r="308" spans="1:2" x14ac:dyDescent="0.2">
      <c r="A308" s="79" t="s">
        <v>55</v>
      </c>
      <c r="B308" s="79">
        <v>2429</v>
      </c>
    </row>
    <row r="309" spans="1:2" x14ac:dyDescent="0.2">
      <c r="A309" s="79" t="s">
        <v>397</v>
      </c>
      <c r="B309" s="79">
        <v>113044</v>
      </c>
    </row>
    <row r="310" spans="1:2" x14ac:dyDescent="0.2">
      <c r="A310" s="79" t="s">
        <v>399</v>
      </c>
      <c r="B310" s="79" t="s">
        <v>401</v>
      </c>
    </row>
    <row r="311" spans="1:2" x14ac:dyDescent="0.2">
      <c r="A311" s="1158" t="s">
        <v>72</v>
      </c>
      <c r="B311" s="94">
        <v>4607</v>
      </c>
    </row>
    <row r="312" spans="1:2" x14ac:dyDescent="0.2">
      <c r="A312" s="665" t="s">
        <v>881</v>
      </c>
      <c r="B312" s="1169" t="s">
        <v>882</v>
      </c>
    </row>
    <row r="313" spans="1:2" x14ac:dyDescent="0.2">
      <c r="A313" s="726" t="s">
        <v>883</v>
      </c>
      <c r="B313" s="1154" t="s">
        <v>884</v>
      </c>
    </row>
    <row r="314" spans="1:2" x14ac:dyDescent="0.2">
      <c r="A314" s="79" t="s">
        <v>56</v>
      </c>
      <c r="B314" s="79">
        <v>2444</v>
      </c>
    </row>
    <row r="315" spans="1:2" x14ac:dyDescent="0.2">
      <c r="A315" s="1158" t="s">
        <v>57</v>
      </c>
      <c r="B315" s="94">
        <v>5209</v>
      </c>
    </row>
    <row r="316" spans="1:2" x14ac:dyDescent="0.2">
      <c r="A316" s="79" t="s">
        <v>402</v>
      </c>
      <c r="B316" s="79" t="s">
        <v>404</v>
      </c>
    </row>
    <row r="317" spans="1:2" x14ac:dyDescent="0.2">
      <c r="A317" s="79" t="s">
        <v>405</v>
      </c>
      <c r="B317" s="79" t="s">
        <v>407</v>
      </c>
    </row>
    <row r="318" spans="1:2" x14ac:dyDescent="0.2">
      <c r="A318" s="1158" t="s">
        <v>58</v>
      </c>
      <c r="B318" s="94">
        <v>2469</v>
      </c>
    </row>
    <row r="319" spans="1:2" x14ac:dyDescent="0.2">
      <c r="A319" s="79" t="s">
        <v>408</v>
      </c>
      <c r="B319" s="79" t="s">
        <v>410</v>
      </c>
    </row>
    <row r="320" spans="1:2" x14ac:dyDescent="0.2">
      <c r="A320" s="99" t="s">
        <v>411</v>
      </c>
      <c r="B320" s="99" t="s">
        <v>412</v>
      </c>
    </row>
    <row r="321" spans="1:2" x14ac:dyDescent="0.2">
      <c r="A321" s="1158" t="s">
        <v>59</v>
      </c>
      <c r="B321" s="94">
        <v>2466</v>
      </c>
    </row>
    <row r="322" spans="1:2" x14ac:dyDescent="0.2">
      <c r="A322" s="79" t="s">
        <v>60</v>
      </c>
      <c r="B322" s="79">
        <v>3543</v>
      </c>
    </row>
    <row r="323" spans="1:2" x14ac:dyDescent="0.2">
      <c r="A323" s="79" t="s">
        <v>413</v>
      </c>
      <c r="B323" s="79">
        <v>206152</v>
      </c>
    </row>
    <row r="324" spans="1:2" x14ac:dyDescent="0.2">
      <c r="A324" s="79" t="s">
        <v>415</v>
      </c>
      <c r="B324" s="79">
        <v>206153</v>
      </c>
    </row>
    <row r="325" spans="1:2" x14ac:dyDescent="0.2">
      <c r="A325" s="1158" t="s">
        <v>62</v>
      </c>
      <c r="B325" s="94">
        <v>3531</v>
      </c>
    </row>
    <row r="326" spans="1:2" x14ac:dyDescent="0.2">
      <c r="A326" s="79" t="s">
        <v>63</v>
      </c>
      <c r="B326" s="79">
        <v>3526</v>
      </c>
    </row>
    <row r="327" spans="1:2" x14ac:dyDescent="0.2">
      <c r="A327" s="1158" t="s">
        <v>104</v>
      </c>
      <c r="B327" s="94">
        <v>3535</v>
      </c>
    </row>
    <row r="328" spans="1:2" x14ac:dyDescent="0.2">
      <c r="A328" s="1203" t="s">
        <v>64</v>
      </c>
      <c r="B328" s="94">
        <v>2008</v>
      </c>
    </row>
    <row r="329" spans="1:2" x14ac:dyDescent="0.2">
      <c r="A329" s="1158" t="s">
        <v>105</v>
      </c>
      <c r="B329" s="94">
        <v>3542</v>
      </c>
    </row>
    <row r="330" spans="1:2" x14ac:dyDescent="0.2">
      <c r="A330" s="90" t="s">
        <v>417</v>
      </c>
      <c r="B330" s="79">
        <v>206154</v>
      </c>
    </row>
    <row r="331" spans="1:2" x14ac:dyDescent="0.2">
      <c r="A331" s="1158" t="s">
        <v>106</v>
      </c>
      <c r="B331" s="79">
        <v>3528</v>
      </c>
    </row>
    <row r="332" spans="1:2" x14ac:dyDescent="0.2">
      <c r="A332" s="80" t="s">
        <v>419</v>
      </c>
      <c r="B332" s="80" t="s">
        <v>420</v>
      </c>
    </row>
    <row r="333" spans="1:2" x14ac:dyDescent="0.2">
      <c r="A333" s="1158" t="s">
        <v>107</v>
      </c>
      <c r="B333" s="94">
        <v>3534</v>
      </c>
    </row>
    <row r="334" spans="1:2" x14ac:dyDescent="0.2">
      <c r="A334" s="1158" t="s">
        <v>108</v>
      </c>
      <c r="B334" s="143">
        <v>3532</v>
      </c>
    </row>
    <row r="335" spans="1:2" x14ac:dyDescent="0.2">
      <c r="A335" s="107" t="s">
        <v>7</v>
      </c>
      <c r="B335" s="79">
        <v>1010</v>
      </c>
    </row>
    <row r="336" spans="1:2" x14ac:dyDescent="0.2">
      <c r="A336" s="107" t="s">
        <v>421</v>
      </c>
      <c r="B336" s="79" t="s">
        <v>423</v>
      </c>
    </row>
    <row r="337" spans="1:2" x14ac:dyDescent="0.2">
      <c r="A337" s="1158" t="s">
        <v>114</v>
      </c>
      <c r="B337" s="94">
        <v>4177</v>
      </c>
    </row>
    <row r="338" spans="1:2" x14ac:dyDescent="0.2">
      <c r="A338" s="79" t="s">
        <v>424</v>
      </c>
      <c r="B338" s="79" t="s">
        <v>426</v>
      </c>
    </row>
    <row r="339" spans="1:2" x14ac:dyDescent="0.2">
      <c r="A339" s="79" t="s">
        <v>427</v>
      </c>
      <c r="B339" s="79">
        <v>206103</v>
      </c>
    </row>
    <row r="340" spans="1:2" x14ac:dyDescent="0.2">
      <c r="A340" s="79" t="s">
        <v>428</v>
      </c>
      <c r="B340" s="79" t="s">
        <v>430</v>
      </c>
    </row>
    <row r="341" spans="1:2" x14ac:dyDescent="0.2">
      <c r="A341" s="79" t="s">
        <v>431</v>
      </c>
      <c r="B341" s="79" t="s">
        <v>433</v>
      </c>
    </row>
    <row r="342" spans="1:2" x14ac:dyDescent="0.2">
      <c r="A342" s="79" t="s">
        <v>434</v>
      </c>
      <c r="B342" s="79">
        <v>258420</v>
      </c>
    </row>
    <row r="343" spans="1:2" x14ac:dyDescent="0.2">
      <c r="A343" s="79" t="s">
        <v>436</v>
      </c>
      <c r="B343" s="79">
        <v>258424</v>
      </c>
    </row>
    <row r="344" spans="1:2" x14ac:dyDescent="0.2">
      <c r="A344" s="79" t="s">
        <v>438</v>
      </c>
      <c r="B344" s="79" t="s">
        <v>439</v>
      </c>
    </row>
    <row r="345" spans="1:2" x14ac:dyDescent="0.2">
      <c r="A345" s="142" t="s">
        <v>65</v>
      </c>
      <c r="B345" s="79">
        <v>3546</v>
      </c>
    </row>
    <row r="346" spans="1:2" x14ac:dyDescent="0.2">
      <c r="A346" s="140" t="s">
        <v>8</v>
      </c>
      <c r="B346" s="79">
        <v>1009</v>
      </c>
    </row>
    <row r="347" spans="1:2" x14ac:dyDescent="0.2">
      <c r="A347" s="142" t="s">
        <v>66</v>
      </c>
      <c r="B347" s="79">
        <v>3530</v>
      </c>
    </row>
    <row r="348" spans="1:2" x14ac:dyDescent="0.2">
      <c r="A348" s="1158" t="s">
        <v>74</v>
      </c>
      <c r="B348" s="94">
        <v>5412</v>
      </c>
    </row>
    <row r="349" spans="1:2" ht="15" x14ac:dyDescent="0.2">
      <c r="A349" s="146" t="s">
        <v>445</v>
      </c>
      <c r="B349" s="146" t="s">
        <v>446</v>
      </c>
    </row>
    <row r="350" spans="1:2" x14ac:dyDescent="0.2">
      <c r="A350" s="140" t="s">
        <v>440</v>
      </c>
      <c r="B350" s="144" t="s">
        <v>442</v>
      </c>
    </row>
    <row r="351" spans="1:2" x14ac:dyDescent="0.2">
      <c r="A351" s="79" t="s">
        <v>9</v>
      </c>
      <c r="B351" s="140">
        <v>1015</v>
      </c>
    </row>
    <row r="352" spans="1:2" x14ac:dyDescent="0.2">
      <c r="A352" s="141" t="s">
        <v>443</v>
      </c>
      <c r="B352" s="145" t="s">
        <v>444</v>
      </c>
    </row>
    <row r="353" spans="1:2" x14ac:dyDescent="0.2">
      <c r="A353" s="142" t="s">
        <v>447</v>
      </c>
      <c r="B353" s="79">
        <v>509204</v>
      </c>
    </row>
    <row r="354" spans="1:2" x14ac:dyDescent="0.2">
      <c r="A354" s="1206" t="s">
        <v>67</v>
      </c>
      <c r="B354" s="143">
        <v>2459</v>
      </c>
    </row>
    <row r="355" spans="1:2" x14ac:dyDescent="0.2">
      <c r="A355" s="79" t="s">
        <v>96</v>
      </c>
      <c r="B355" s="79">
        <v>2007</v>
      </c>
    </row>
  </sheetData>
  <sheetProtection password="EF5C" sheet="1" objects="1" scenario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424"/>
  <sheetViews>
    <sheetView workbookViewId="0">
      <pane xSplit="2" ySplit="6" topLeftCell="AA7" activePane="bottomRight" state="frozen"/>
      <selection activeCell="C118" sqref="C118"/>
      <selection pane="topRight" activeCell="C118" sqref="C118"/>
      <selection pane="bottomLeft" activeCell="C118" sqref="C118"/>
      <selection pane="bottomRight" sqref="A1:AM1048576"/>
    </sheetView>
  </sheetViews>
  <sheetFormatPr defaultRowHeight="12.75" x14ac:dyDescent="0.2"/>
  <cols>
    <col min="1" max="1" width="52.42578125" style="11" hidden="1" customWidth="1"/>
    <col min="2" max="2" width="17.140625" style="2" hidden="1" customWidth="1"/>
    <col min="3" max="3" width="14.42578125" style="11" hidden="1" customWidth="1"/>
    <col min="4" max="4" width="11.42578125" style="11" hidden="1" customWidth="1"/>
    <col min="5" max="5" width="10.85546875" style="11" hidden="1" customWidth="1"/>
    <col min="6" max="6" width="13.140625" style="11" hidden="1" customWidth="1"/>
    <col min="7" max="7" width="0" style="11" hidden="1" customWidth="1"/>
    <col min="8" max="9" width="13.140625" style="11" hidden="1" customWidth="1"/>
    <col min="10" max="10" width="11.7109375" style="11" hidden="1" customWidth="1"/>
    <col min="11" max="11" width="11.85546875" style="11" hidden="1" customWidth="1"/>
    <col min="12" max="12" width="12.7109375" style="11" hidden="1" customWidth="1"/>
    <col min="13" max="13" width="0" style="11" hidden="1" customWidth="1"/>
    <col min="14" max="14" width="16.42578125" style="14" hidden="1" customWidth="1"/>
    <col min="15" max="15" width="12" style="30" hidden="1" customWidth="1"/>
    <col min="16" max="16" width="20.85546875" style="30" hidden="1" customWidth="1"/>
    <col min="17" max="39" width="0" style="30" hidden="1" customWidth="1"/>
    <col min="40" max="16384" width="9.140625" style="30"/>
  </cols>
  <sheetData>
    <row r="1" spans="1:16" x14ac:dyDescent="0.2">
      <c r="A1" s="1" t="s">
        <v>1038</v>
      </c>
      <c r="C1" s="1336" t="s">
        <v>1265</v>
      </c>
      <c r="D1" s="4"/>
      <c r="E1" s="2" t="s">
        <v>1266</v>
      </c>
      <c r="F1" s="4"/>
      <c r="G1" s="4"/>
      <c r="H1" s="4"/>
      <c r="I1" s="4"/>
      <c r="J1" s="18">
        <f>-B119</f>
        <v>-76.64</v>
      </c>
      <c r="K1" s="19"/>
      <c r="L1" s="19"/>
      <c r="M1" s="4"/>
      <c r="N1" s="23"/>
      <c r="O1" s="23"/>
      <c r="P1" s="22"/>
    </row>
    <row r="2" spans="1:16" x14ac:dyDescent="0.2">
      <c r="A2" s="1" t="s">
        <v>77</v>
      </c>
      <c r="C2" s="1336"/>
      <c r="D2" s="4"/>
      <c r="E2" s="4"/>
      <c r="F2" s="4"/>
      <c r="G2" s="4"/>
      <c r="H2" s="4"/>
      <c r="I2" s="4"/>
      <c r="J2" s="19"/>
      <c r="K2" s="19"/>
      <c r="L2" s="19"/>
      <c r="M2" s="4"/>
      <c r="O2" s="22"/>
      <c r="P2" s="22"/>
    </row>
    <row r="3" spans="1:16" x14ac:dyDescent="0.2">
      <c r="A3" s="1" t="s">
        <v>78</v>
      </c>
      <c r="C3" s="20"/>
      <c r="D3" s="3"/>
      <c r="E3" s="4"/>
      <c r="F3" s="4"/>
      <c r="G3" s="4"/>
      <c r="H3" s="4"/>
      <c r="I3" s="21"/>
      <c r="J3" s="19"/>
      <c r="K3" s="18">
        <f>-C119</f>
        <v>-72.39</v>
      </c>
      <c r="L3" s="19"/>
      <c r="M3" s="4"/>
      <c r="O3" s="22"/>
      <c r="P3" s="22"/>
    </row>
    <row r="4" spans="1:16" x14ac:dyDescent="0.2">
      <c r="A4" s="1" t="s">
        <v>79</v>
      </c>
      <c r="C4" s="20"/>
      <c r="D4" s="3"/>
      <c r="E4" s="3"/>
      <c r="F4" s="3"/>
      <c r="G4" s="3"/>
      <c r="H4" s="3"/>
      <c r="I4" s="3"/>
      <c r="J4" s="18"/>
      <c r="K4" s="18"/>
      <c r="L4" s="18">
        <f>-C119</f>
        <v>-72.39</v>
      </c>
      <c r="M4" s="3"/>
      <c r="O4" s="22"/>
      <c r="P4" s="22"/>
    </row>
    <row r="5" spans="1:16" x14ac:dyDescent="0.2">
      <c r="A5" s="1" t="s">
        <v>80</v>
      </c>
      <c r="C5" s="20"/>
      <c r="D5" s="3"/>
      <c r="E5" s="3"/>
      <c r="F5" s="3"/>
      <c r="G5" s="3"/>
      <c r="H5" s="3"/>
      <c r="I5" s="32"/>
      <c r="J5" s="3"/>
      <c r="K5" s="3"/>
      <c r="L5" s="18"/>
      <c r="M5" s="3"/>
      <c r="O5" s="22"/>
      <c r="P5" s="21"/>
    </row>
    <row r="6" spans="1:16" ht="63.75" x14ac:dyDescent="0.2">
      <c r="A6" s="13" t="s">
        <v>118</v>
      </c>
      <c r="B6" s="6" t="s">
        <v>119</v>
      </c>
      <c r="C6" s="7" t="s">
        <v>82</v>
      </c>
      <c r="D6" s="7" t="s">
        <v>83</v>
      </c>
      <c r="E6" s="7" t="s">
        <v>84</v>
      </c>
      <c r="F6" s="7" t="s">
        <v>85</v>
      </c>
      <c r="G6" s="7" t="s">
        <v>86</v>
      </c>
      <c r="H6" s="7" t="s">
        <v>87</v>
      </c>
      <c r="I6" s="7" t="s">
        <v>88</v>
      </c>
      <c r="J6" s="5" t="s">
        <v>89</v>
      </c>
      <c r="K6" s="5" t="s">
        <v>90</v>
      </c>
      <c r="L6" s="5" t="s">
        <v>91</v>
      </c>
      <c r="M6" s="5" t="s">
        <v>92</v>
      </c>
      <c r="N6" s="15" t="s">
        <v>1267</v>
      </c>
    </row>
    <row r="7" spans="1:16" x14ac:dyDescent="0.2">
      <c r="A7" s="805" t="s">
        <v>10</v>
      </c>
      <c r="B7" s="27">
        <v>2012</v>
      </c>
      <c r="C7" s="805"/>
      <c r="D7" s="805"/>
      <c r="E7" s="805"/>
      <c r="F7" s="805"/>
      <c r="G7" s="805"/>
      <c r="H7" s="805"/>
      <c r="I7" s="805"/>
      <c r="J7" s="805"/>
      <c r="K7" s="805"/>
      <c r="L7" s="805"/>
      <c r="M7" s="805"/>
      <c r="N7" s="807"/>
      <c r="O7" s="33" t="s">
        <v>1268</v>
      </c>
    </row>
    <row r="8" spans="1:16" x14ac:dyDescent="0.2">
      <c r="A8" s="9" t="s">
        <v>11</v>
      </c>
      <c r="B8" s="10">
        <v>2443</v>
      </c>
      <c r="C8" s="9">
        <f ca="1">SUMIF(AWPU!$B:$M,$B8,AWPU!$C:$C)</f>
        <v>255</v>
      </c>
      <c r="D8" s="9">
        <f ca="1">SUMIF(AWPU!$B:$M,$B8,AWPU!$D:$D)</f>
        <v>0</v>
      </c>
      <c r="E8" s="9">
        <f ca="1">SUMIF(AWPU!$B:$M,$B8,AWPU!$E:$E)</f>
        <v>0</v>
      </c>
      <c r="F8" s="9">
        <f t="shared" ref="F8:F70" ca="1" si="0">SUM(C8:E8)</f>
        <v>255</v>
      </c>
      <c r="G8" s="9">
        <f ca="1">SUMIF(AWPU!$B:$M,$B8,AWPU!$G:$G)</f>
        <v>0</v>
      </c>
      <c r="H8" s="9">
        <f ca="1">SUMIF(AWPU!$B:$M,$B8,AWPU!$H:$H)</f>
        <v>0</v>
      </c>
      <c r="I8" s="9">
        <f ca="1">SUMIF(AWPU!$B:$M,$B8,AWPU!$I:$I)</f>
        <v>0</v>
      </c>
      <c r="J8" s="9">
        <f t="shared" ref="J8:L71" ca="1" si="1">C8-G8</f>
        <v>255</v>
      </c>
      <c r="K8" s="9">
        <f t="shared" ca="1" si="1"/>
        <v>0</v>
      </c>
      <c r="L8" s="9">
        <f t="shared" ca="1" si="1"/>
        <v>0</v>
      </c>
      <c r="M8" s="9">
        <f t="shared" ref="M8:M71" ca="1" si="2">SUM(J8:L8)</f>
        <v>255</v>
      </c>
      <c r="N8" s="16">
        <f t="shared" ref="N8:N70" ca="1" si="3">SUM(J8*$J$1)+SUM(K8*$K$3)+SUM(L8*$L$4)</f>
        <v>-19543.2</v>
      </c>
    </row>
    <row r="9" spans="1:16" x14ac:dyDescent="0.2">
      <c r="A9" s="9" t="s">
        <v>94</v>
      </c>
      <c r="B9" s="10">
        <v>2442</v>
      </c>
      <c r="C9" s="9">
        <f ca="1">SUMIF(AWPU!$B:$M,$B9,AWPU!$C:$C)</f>
        <v>321</v>
      </c>
      <c r="D9" s="9">
        <f ca="1">SUMIF(AWPU!$B:$M,$B9,AWPU!$D:$D)</f>
        <v>0</v>
      </c>
      <c r="E9" s="9">
        <f ca="1">SUMIF(AWPU!$B:$M,$B9,AWPU!$E:$E)</f>
        <v>0</v>
      </c>
      <c r="F9" s="9">
        <f t="shared" ca="1" si="0"/>
        <v>321</v>
      </c>
      <c r="G9" s="9">
        <f ca="1">SUMIF(AWPU!$B:$M,$B9,AWPU!$G:$G)</f>
        <v>12</v>
      </c>
      <c r="H9" s="9">
        <f ca="1">SUMIF(AWPU!$B:$M,$B9,AWPU!$H:$H)</f>
        <v>0</v>
      </c>
      <c r="I9" s="9">
        <f ca="1">SUMIF(AWPU!$B:$M,$B9,AWPU!$I:$I)</f>
        <v>0</v>
      </c>
      <c r="J9" s="9">
        <f t="shared" ca="1" si="1"/>
        <v>309</v>
      </c>
      <c r="K9" s="9">
        <f t="shared" ca="1" si="1"/>
        <v>0</v>
      </c>
      <c r="L9" s="9">
        <f t="shared" ca="1" si="1"/>
        <v>0</v>
      </c>
      <c r="M9" s="9">
        <f t="shared" ca="1" si="2"/>
        <v>309</v>
      </c>
      <c r="N9" s="16">
        <f t="shared" ca="1" si="3"/>
        <v>-23681.759999999998</v>
      </c>
    </row>
    <row r="10" spans="1:16" x14ac:dyDescent="0.2">
      <c r="A10" s="9" t="s">
        <v>13</v>
      </c>
      <c r="B10" s="10">
        <v>2629</v>
      </c>
      <c r="C10" s="9">
        <f ca="1">SUMIF(AWPU!$B:$M,$B10,AWPU!$C:$C)</f>
        <v>436</v>
      </c>
      <c r="D10" s="9">
        <f ca="1">SUMIF(AWPU!$B:$M,$B10,AWPU!$D:$D)</f>
        <v>0</v>
      </c>
      <c r="E10" s="9">
        <f ca="1">SUMIF(AWPU!$B:$M,$B10,AWPU!$E:$E)</f>
        <v>0</v>
      </c>
      <c r="F10" s="9">
        <f t="shared" ca="1" si="0"/>
        <v>436</v>
      </c>
      <c r="G10" s="9">
        <f ca="1">SUMIF(AWPU!$B:$M,$B10,AWPU!$G:$G)</f>
        <v>5</v>
      </c>
      <c r="H10" s="9">
        <f ca="1">SUMIF(AWPU!$B:$M,$B10,AWPU!$H:$H)</f>
        <v>0</v>
      </c>
      <c r="I10" s="9">
        <f ca="1">SUMIF(AWPU!$B:$M,$B10,AWPU!$I:$I)</f>
        <v>0</v>
      </c>
      <c r="J10" s="9">
        <f t="shared" ca="1" si="1"/>
        <v>431</v>
      </c>
      <c r="K10" s="9">
        <f t="shared" ca="1" si="1"/>
        <v>0</v>
      </c>
      <c r="L10" s="9">
        <f t="shared" ca="1" si="1"/>
        <v>0</v>
      </c>
      <c r="M10" s="9">
        <f t="shared" ca="1" si="2"/>
        <v>431</v>
      </c>
      <c r="N10" s="16">
        <f t="shared" ca="1" si="3"/>
        <v>-33031.840000000004</v>
      </c>
    </row>
    <row r="11" spans="1:16" x14ac:dyDescent="0.2">
      <c r="A11" s="9" t="s">
        <v>14</v>
      </c>
      <c r="B11" s="10">
        <v>2509</v>
      </c>
      <c r="C11" s="9">
        <f ca="1">SUMIF(AWPU!$B:$M,$B11,AWPU!$C:$C)</f>
        <v>195</v>
      </c>
      <c r="D11" s="9">
        <f ca="1">SUMIF(AWPU!$B:$M,$B11,AWPU!$D:$D)</f>
        <v>0</v>
      </c>
      <c r="E11" s="9">
        <f ca="1">SUMIF(AWPU!$B:$M,$B11,AWPU!$E:$E)</f>
        <v>0</v>
      </c>
      <c r="F11" s="9">
        <f t="shared" ca="1" si="0"/>
        <v>195</v>
      </c>
      <c r="G11" s="9">
        <f ca="1">SUMIF(AWPU!$B:$M,$B11,AWPU!$G:$G)</f>
        <v>0</v>
      </c>
      <c r="H11" s="9">
        <f ca="1">SUMIF(AWPU!$B:$M,$B11,AWPU!$H:$H)</f>
        <v>0</v>
      </c>
      <c r="I11" s="9">
        <f ca="1">SUMIF(AWPU!$B:$M,$B11,AWPU!$I:$I)</f>
        <v>0</v>
      </c>
      <c r="J11" s="9">
        <f t="shared" ca="1" si="1"/>
        <v>195</v>
      </c>
      <c r="K11" s="9">
        <f t="shared" ca="1" si="1"/>
        <v>0</v>
      </c>
      <c r="L11" s="9">
        <f t="shared" ca="1" si="1"/>
        <v>0</v>
      </c>
      <c r="M11" s="9">
        <f t="shared" ca="1" si="2"/>
        <v>195</v>
      </c>
      <c r="N11" s="16">
        <f t="shared" ca="1" si="3"/>
        <v>-14944.8</v>
      </c>
    </row>
    <row r="12" spans="1:16" x14ac:dyDescent="0.2">
      <c r="A12" s="9" t="s">
        <v>15</v>
      </c>
      <c r="B12" s="10">
        <v>2005</v>
      </c>
      <c r="C12" s="9">
        <f ca="1">SUMIF(AWPU!$B:$M,$B12,AWPU!$C:$C)</f>
        <v>323</v>
      </c>
      <c r="D12" s="9">
        <f ca="1">SUMIF(AWPU!$B:$M,$B12,AWPU!$D:$D)</f>
        <v>0</v>
      </c>
      <c r="E12" s="9">
        <f ca="1">SUMIF(AWPU!$B:$M,$B12,AWPU!$E:$E)</f>
        <v>0</v>
      </c>
      <c r="F12" s="9">
        <f t="shared" ca="1" si="0"/>
        <v>323</v>
      </c>
      <c r="G12" s="9">
        <f ca="1">SUMIF(AWPU!$B:$M,$B12,AWPU!$G:$G)</f>
        <v>0</v>
      </c>
      <c r="H12" s="9">
        <f ca="1">SUMIF(AWPU!$B:$M,$B12,AWPU!$H:$H)</f>
        <v>0</v>
      </c>
      <c r="I12" s="9">
        <f ca="1">SUMIF(AWPU!$B:$M,$B12,AWPU!$I:$I)</f>
        <v>0</v>
      </c>
      <c r="J12" s="9">
        <f t="shared" ca="1" si="1"/>
        <v>323</v>
      </c>
      <c r="K12" s="9">
        <f t="shared" ca="1" si="1"/>
        <v>0</v>
      </c>
      <c r="L12" s="9">
        <f t="shared" ca="1" si="1"/>
        <v>0</v>
      </c>
      <c r="M12" s="9">
        <f t="shared" ca="1" si="2"/>
        <v>323</v>
      </c>
      <c r="N12" s="16">
        <f t="shared" ca="1" si="3"/>
        <v>-24754.720000000001</v>
      </c>
    </row>
    <row r="13" spans="1:16" x14ac:dyDescent="0.2">
      <c r="A13" s="9" t="s">
        <v>16</v>
      </c>
      <c r="B13" s="10">
        <v>2464</v>
      </c>
      <c r="C13" s="9">
        <f ca="1">SUMIF(AWPU!$B:$M,$B13,AWPU!$C:$C)</f>
        <v>192</v>
      </c>
      <c r="D13" s="9">
        <f ca="1">SUMIF(AWPU!$B:$M,$B13,AWPU!$D:$D)</f>
        <v>0</v>
      </c>
      <c r="E13" s="9">
        <f ca="1">SUMIF(AWPU!$B:$M,$B13,AWPU!$E:$E)</f>
        <v>0</v>
      </c>
      <c r="F13" s="9">
        <f t="shared" ca="1" si="0"/>
        <v>192</v>
      </c>
      <c r="G13" s="9">
        <f ca="1">SUMIF(AWPU!$B:$M,$B13,AWPU!$G:$G)</f>
        <v>0</v>
      </c>
      <c r="H13" s="9">
        <f ca="1">SUMIF(AWPU!$B:$M,$B13,AWPU!$H:$H)</f>
        <v>0</v>
      </c>
      <c r="I13" s="9">
        <f ca="1">SUMIF(AWPU!$B:$M,$B13,AWPU!$I:$I)</f>
        <v>0</v>
      </c>
      <c r="J13" s="9">
        <f t="shared" ca="1" si="1"/>
        <v>192</v>
      </c>
      <c r="K13" s="9">
        <f t="shared" ca="1" si="1"/>
        <v>0</v>
      </c>
      <c r="L13" s="9">
        <f t="shared" ca="1" si="1"/>
        <v>0</v>
      </c>
      <c r="M13" s="9">
        <f t="shared" ca="1" si="2"/>
        <v>192</v>
      </c>
      <c r="N13" s="16">
        <f t="shared" ca="1" si="3"/>
        <v>-14714.880000000001</v>
      </c>
    </row>
    <row r="14" spans="1:16" x14ac:dyDescent="0.2">
      <c r="A14" s="9" t="s">
        <v>17</v>
      </c>
      <c r="B14" s="10">
        <v>2004</v>
      </c>
      <c r="C14" s="9">
        <f ca="1">SUMIF(AWPU!$B:$M,$B14,AWPU!$C:$C)</f>
        <v>272</v>
      </c>
      <c r="D14" s="9">
        <f ca="1">SUMIF(AWPU!$B:$M,$B14,AWPU!$D:$D)</f>
        <v>0</v>
      </c>
      <c r="E14" s="9">
        <f ca="1">SUMIF(AWPU!$B:$M,$B14,AWPU!$E:$E)</f>
        <v>0</v>
      </c>
      <c r="F14" s="9">
        <f t="shared" ca="1" si="0"/>
        <v>272</v>
      </c>
      <c r="G14" s="9">
        <f ca="1">SUMIF(AWPU!$B:$M,$B14,AWPU!$G:$G)</f>
        <v>0</v>
      </c>
      <c r="H14" s="9">
        <f ca="1">SUMIF(AWPU!$B:$M,$B14,AWPU!$H:$H)</f>
        <v>0</v>
      </c>
      <c r="I14" s="9">
        <f ca="1">SUMIF(AWPU!$B:$M,$B14,AWPU!$I:$I)</f>
        <v>0</v>
      </c>
      <c r="J14" s="9">
        <f t="shared" ca="1" si="1"/>
        <v>272</v>
      </c>
      <c r="K14" s="9">
        <f t="shared" ca="1" si="1"/>
        <v>0</v>
      </c>
      <c r="L14" s="9">
        <f t="shared" ca="1" si="1"/>
        <v>0</v>
      </c>
      <c r="M14" s="9">
        <f t="shared" ca="1" si="2"/>
        <v>272</v>
      </c>
      <c r="N14" s="16">
        <f t="shared" ca="1" si="3"/>
        <v>-20846.080000000002</v>
      </c>
    </row>
    <row r="15" spans="1:16" x14ac:dyDescent="0.2">
      <c r="A15" s="9" t="s">
        <v>18</v>
      </c>
      <c r="B15" s="10">
        <v>2405</v>
      </c>
      <c r="C15" s="9">
        <f ca="1">SUMIF(AWPU!$B:$M,$B15,AWPU!$C:$C)</f>
        <v>207</v>
      </c>
      <c r="D15" s="9">
        <f ca="1">SUMIF(AWPU!$B:$M,$B15,AWPU!$D:$D)</f>
        <v>0</v>
      </c>
      <c r="E15" s="9">
        <f ca="1">SUMIF(AWPU!$B:$M,$B15,AWPU!$E:$E)</f>
        <v>0</v>
      </c>
      <c r="F15" s="9">
        <f t="shared" ca="1" si="0"/>
        <v>207</v>
      </c>
      <c r="G15" s="9">
        <f ca="1">SUMIF(AWPU!$B:$M,$B15,AWPU!$G:$G)</f>
        <v>6</v>
      </c>
      <c r="H15" s="9">
        <f ca="1">SUMIF(AWPU!$B:$M,$B15,AWPU!$H:$H)</f>
        <v>0</v>
      </c>
      <c r="I15" s="9">
        <f ca="1">SUMIF(AWPU!$B:$M,$B15,AWPU!$I:$I)</f>
        <v>0</v>
      </c>
      <c r="J15" s="9">
        <f t="shared" ca="1" si="1"/>
        <v>201</v>
      </c>
      <c r="K15" s="9">
        <f t="shared" ca="1" si="1"/>
        <v>0</v>
      </c>
      <c r="L15" s="9">
        <f t="shared" ca="1" si="1"/>
        <v>0</v>
      </c>
      <c r="M15" s="9">
        <f t="shared" ca="1" si="2"/>
        <v>201</v>
      </c>
      <c r="N15" s="16">
        <f t="shared" ca="1" si="3"/>
        <v>-15404.64</v>
      </c>
    </row>
    <row r="16" spans="1:16" s="33" customFormat="1" x14ac:dyDescent="0.2">
      <c r="A16" s="805" t="s">
        <v>95</v>
      </c>
      <c r="B16" s="27">
        <v>2011</v>
      </c>
      <c r="C16" s="805"/>
      <c r="D16" s="805"/>
      <c r="E16" s="805"/>
      <c r="F16" s="805"/>
      <c r="G16" s="805"/>
      <c r="H16" s="805"/>
      <c r="I16" s="805"/>
      <c r="J16" s="805"/>
      <c r="K16" s="805"/>
      <c r="L16" s="805"/>
      <c r="M16" s="805"/>
      <c r="N16" s="807"/>
      <c r="O16" s="33" t="s">
        <v>1268</v>
      </c>
    </row>
    <row r="17" spans="1:15" x14ac:dyDescent="0.2">
      <c r="A17" s="9" t="s">
        <v>20</v>
      </c>
      <c r="B17" s="10">
        <v>5201</v>
      </c>
      <c r="C17" s="9">
        <f ca="1">SUMIF(AWPU!$B:$M,$B17,AWPU!$C:$C)</f>
        <v>419</v>
      </c>
      <c r="D17" s="9">
        <f ca="1">SUMIF(AWPU!$B:$M,$B17,AWPU!$D:$D)</f>
        <v>0</v>
      </c>
      <c r="E17" s="9">
        <f ca="1">SUMIF(AWPU!$B:$M,$B17,AWPU!$E:$E)</f>
        <v>0</v>
      </c>
      <c r="F17" s="9">
        <f t="shared" ca="1" si="0"/>
        <v>419</v>
      </c>
      <c r="G17" s="9">
        <f ca="1">SUMIF(AWPU!$B:$M,$B17,AWPU!$G:$G)</f>
        <v>0</v>
      </c>
      <c r="H17" s="9">
        <f ca="1">SUMIF(AWPU!$B:$M,$B17,AWPU!$H:$H)</f>
        <v>0</v>
      </c>
      <c r="I17" s="9">
        <f ca="1">SUMIF(AWPU!$B:$M,$B17,AWPU!$I:$I)</f>
        <v>0</v>
      </c>
      <c r="J17" s="9">
        <f t="shared" ca="1" si="1"/>
        <v>419</v>
      </c>
      <c r="K17" s="9">
        <f t="shared" ca="1" si="1"/>
        <v>0</v>
      </c>
      <c r="L17" s="9">
        <f t="shared" ca="1" si="1"/>
        <v>0</v>
      </c>
      <c r="M17" s="9">
        <f t="shared" ca="1" si="2"/>
        <v>419</v>
      </c>
      <c r="N17" s="16">
        <f t="shared" ca="1" si="3"/>
        <v>-32112.16</v>
      </c>
    </row>
    <row r="18" spans="1:15" s="33" customFormat="1" x14ac:dyDescent="0.2">
      <c r="A18" s="805" t="s">
        <v>96</v>
      </c>
      <c r="B18" s="27">
        <v>2007</v>
      </c>
      <c r="C18" s="805"/>
      <c r="D18" s="805"/>
      <c r="E18" s="805"/>
      <c r="F18" s="805"/>
      <c r="G18" s="805"/>
      <c r="H18" s="805"/>
      <c r="I18" s="805"/>
      <c r="J18" s="805"/>
      <c r="K18" s="805"/>
      <c r="L18" s="805"/>
      <c r="M18" s="805"/>
      <c r="N18" s="807"/>
      <c r="O18" s="33" t="s">
        <v>555</v>
      </c>
    </row>
    <row r="19" spans="1:15" x14ac:dyDescent="0.2">
      <c r="A19" s="9" t="s">
        <v>21</v>
      </c>
      <c r="B19" s="10">
        <v>2433</v>
      </c>
      <c r="C19" s="9">
        <f ca="1">SUMIF(AWPU!$B:$M,$B19,AWPU!$C:$C)</f>
        <v>197</v>
      </c>
      <c r="D19" s="9">
        <f ca="1">SUMIF(AWPU!$B:$M,$B19,AWPU!$D:$D)</f>
        <v>0</v>
      </c>
      <c r="E19" s="9">
        <f ca="1">SUMIF(AWPU!$B:$M,$B19,AWPU!$E:$E)</f>
        <v>0</v>
      </c>
      <c r="F19" s="9">
        <f t="shared" ca="1" si="0"/>
        <v>197</v>
      </c>
      <c r="G19" s="9">
        <f ca="1">SUMIF(AWPU!$B:$M,$B19,AWPU!$G:$G)</f>
        <v>25</v>
      </c>
      <c r="H19" s="9">
        <f ca="1">SUMIF(AWPU!$B:$M,$B19,AWPU!$H:$H)</f>
        <v>0</v>
      </c>
      <c r="I19" s="9">
        <f ca="1">SUMIF(AWPU!$B:$M,$B19,AWPU!$I:$I)</f>
        <v>0</v>
      </c>
      <c r="J19" s="9">
        <f t="shared" ca="1" si="1"/>
        <v>172</v>
      </c>
      <c r="K19" s="9">
        <f t="shared" ca="1" si="1"/>
        <v>0</v>
      </c>
      <c r="L19" s="9">
        <f t="shared" ca="1" si="1"/>
        <v>0</v>
      </c>
      <c r="M19" s="9">
        <f t="shared" ca="1" si="2"/>
        <v>172</v>
      </c>
      <c r="N19" s="16">
        <f t="shared" ca="1" si="3"/>
        <v>-13182.08</v>
      </c>
    </row>
    <row r="20" spans="1:15" x14ac:dyDescent="0.2">
      <c r="A20" s="9" t="s">
        <v>22</v>
      </c>
      <c r="B20" s="10">
        <v>2432</v>
      </c>
      <c r="C20" s="9">
        <f ca="1">SUMIF(AWPU!$B:$M,$B20,AWPU!$C:$C)</f>
        <v>243</v>
      </c>
      <c r="D20" s="9">
        <f ca="1">SUMIF(AWPU!$B:$M,$B20,AWPU!$D:$D)</f>
        <v>0</v>
      </c>
      <c r="E20" s="9">
        <f ca="1">SUMIF(AWPU!$B:$M,$B20,AWPU!$E:$E)</f>
        <v>0</v>
      </c>
      <c r="F20" s="9">
        <f t="shared" ca="1" si="0"/>
        <v>243</v>
      </c>
      <c r="G20" s="9">
        <f ca="1">SUMIF(AWPU!$B:$M,$B20,AWPU!$G:$G)</f>
        <v>38</v>
      </c>
      <c r="H20" s="9">
        <f ca="1">SUMIF(AWPU!$B:$M,$B20,AWPU!$H:$H)</f>
        <v>0</v>
      </c>
      <c r="I20" s="9">
        <f ca="1">SUMIF(AWPU!$B:$M,$B20,AWPU!$I:$I)</f>
        <v>0</v>
      </c>
      <c r="J20" s="9">
        <f t="shared" ca="1" si="1"/>
        <v>205</v>
      </c>
      <c r="K20" s="9">
        <f t="shared" ca="1" si="1"/>
        <v>0</v>
      </c>
      <c r="L20" s="9">
        <f t="shared" ca="1" si="1"/>
        <v>0</v>
      </c>
      <c r="M20" s="9">
        <f t="shared" ca="1" si="2"/>
        <v>205</v>
      </c>
      <c r="N20" s="16">
        <f t="shared" ca="1" si="3"/>
        <v>-15711.2</v>
      </c>
    </row>
    <row r="21" spans="1:15" x14ac:dyDescent="0.2">
      <c r="A21" s="9" t="s">
        <v>199</v>
      </c>
      <c r="B21" s="10">
        <v>2447</v>
      </c>
      <c r="C21" s="9">
        <f ca="1">SUMIF(AWPU!$B:$M,$B21,AWPU!$C:$C)</f>
        <v>419</v>
      </c>
      <c r="D21" s="9">
        <f ca="1">SUMIF(AWPU!$B:$M,$B21,AWPU!$D:$D)</f>
        <v>0</v>
      </c>
      <c r="E21" s="9">
        <f ca="1">SUMIF(AWPU!$B:$M,$B21,AWPU!$E:$E)</f>
        <v>0</v>
      </c>
      <c r="F21" s="9">
        <f t="shared" ca="1" si="0"/>
        <v>419</v>
      </c>
      <c r="G21" s="9">
        <f ca="1">SUMIF(AWPU!$B:$M,$B21,AWPU!$G:$G)</f>
        <v>0</v>
      </c>
      <c r="H21" s="9">
        <f ca="1">SUMIF(AWPU!$B:$M,$B21,AWPU!$H:$H)</f>
        <v>0</v>
      </c>
      <c r="I21" s="9">
        <f ca="1">SUMIF(AWPU!$B:$M,$B21,AWPU!$I:$I)</f>
        <v>0</v>
      </c>
      <c r="J21" s="9">
        <f t="shared" ca="1" si="1"/>
        <v>419</v>
      </c>
      <c r="K21" s="9">
        <f t="shared" ca="1" si="1"/>
        <v>0</v>
      </c>
      <c r="L21" s="9">
        <f t="shared" ca="1" si="1"/>
        <v>0</v>
      </c>
      <c r="M21" s="9">
        <f t="shared" ca="1" si="2"/>
        <v>419</v>
      </c>
      <c r="N21" s="16">
        <f t="shared" ca="1" si="3"/>
        <v>-32112.16</v>
      </c>
    </row>
    <row r="22" spans="1:15" x14ac:dyDescent="0.2">
      <c r="A22" s="9" t="s">
        <v>23</v>
      </c>
      <c r="B22" s="10">
        <v>2512</v>
      </c>
      <c r="C22" s="9">
        <f ca="1">SUMIF(AWPU!$B:$M,$B22,AWPU!$C:$C)</f>
        <v>206</v>
      </c>
      <c r="D22" s="9">
        <f ca="1">SUMIF(AWPU!$B:$M,$B22,AWPU!$D:$D)</f>
        <v>0</v>
      </c>
      <c r="E22" s="9">
        <f ca="1">SUMIF(AWPU!$B:$M,$B22,AWPU!$E:$E)</f>
        <v>0</v>
      </c>
      <c r="F22" s="9">
        <f t="shared" ca="1" si="0"/>
        <v>206</v>
      </c>
      <c r="G22" s="9">
        <f ca="1">SUMIF(AWPU!$B:$M,$B22,AWPU!$G:$G)</f>
        <v>0</v>
      </c>
      <c r="H22" s="9">
        <f ca="1">SUMIF(AWPU!$B:$M,$B22,AWPU!$H:$H)</f>
        <v>0</v>
      </c>
      <c r="I22" s="9">
        <f ca="1">SUMIF(AWPU!$B:$M,$B22,AWPU!$I:$I)</f>
        <v>0</v>
      </c>
      <c r="J22" s="9">
        <f t="shared" ca="1" si="1"/>
        <v>206</v>
      </c>
      <c r="K22" s="9">
        <f t="shared" ca="1" si="1"/>
        <v>0</v>
      </c>
      <c r="L22" s="9">
        <f t="shared" ca="1" si="1"/>
        <v>0</v>
      </c>
      <c r="M22" s="9">
        <f t="shared" ca="1" si="2"/>
        <v>206</v>
      </c>
      <c r="N22" s="16">
        <f t="shared" ca="1" si="3"/>
        <v>-15787.84</v>
      </c>
    </row>
    <row r="23" spans="1:15" x14ac:dyDescent="0.2">
      <c r="A23" s="9" t="s">
        <v>24</v>
      </c>
      <c r="B23" s="10">
        <v>2456</v>
      </c>
      <c r="C23" s="9">
        <f ca="1">SUMIF(AWPU!$B:$M,$B23,AWPU!$C:$C)</f>
        <v>179</v>
      </c>
      <c r="D23" s="9">
        <f ca="1">SUMIF(AWPU!$B:$M,$B23,AWPU!$D:$D)</f>
        <v>0</v>
      </c>
      <c r="E23" s="9">
        <f ca="1">SUMIF(AWPU!$B:$M,$B23,AWPU!$E:$E)</f>
        <v>0</v>
      </c>
      <c r="F23" s="9">
        <f t="shared" ca="1" si="0"/>
        <v>179</v>
      </c>
      <c r="G23" s="9">
        <f ca="1">SUMIF(AWPU!$B:$M,$B23,AWPU!$G:$G)</f>
        <v>0</v>
      </c>
      <c r="H23" s="9">
        <f ca="1">SUMIF(AWPU!$B:$M,$B23,AWPU!$H:$H)</f>
        <v>0</v>
      </c>
      <c r="I23" s="9">
        <f ca="1">SUMIF(AWPU!$B:$M,$B23,AWPU!$I:$I)</f>
        <v>0</v>
      </c>
      <c r="J23" s="9">
        <f t="shared" ca="1" si="1"/>
        <v>179</v>
      </c>
      <c r="K23" s="9">
        <f t="shared" ca="1" si="1"/>
        <v>0</v>
      </c>
      <c r="L23" s="9">
        <f t="shared" ca="1" si="1"/>
        <v>0</v>
      </c>
      <c r="M23" s="9">
        <f t="shared" ca="1" si="2"/>
        <v>179</v>
      </c>
      <c r="N23" s="16">
        <f t="shared" ca="1" si="3"/>
        <v>-13718.56</v>
      </c>
    </row>
    <row r="24" spans="1:15" x14ac:dyDescent="0.2">
      <c r="A24" s="9" t="s">
        <v>25</v>
      </c>
      <c r="B24" s="10">
        <v>2449</v>
      </c>
      <c r="C24" s="9">
        <f ca="1">SUMIF(AWPU!$B:$M,$B24,AWPU!$C:$C)</f>
        <v>270</v>
      </c>
      <c r="D24" s="9">
        <f ca="1">SUMIF(AWPU!$B:$M,$B24,AWPU!$D:$D)</f>
        <v>0</v>
      </c>
      <c r="E24" s="9">
        <f ca="1">SUMIF(AWPU!$B:$M,$B24,AWPU!$E:$E)</f>
        <v>0</v>
      </c>
      <c r="F24" s="9">
        <f t="shared" ca="1" si="0"/>
        <v>270</v>
      </c>
      <c r="G24" s="9">
        <f ca="1">SUMIF(AWPU!$B:$M,$B24,AWPU!$G:$G)</f>
        <v>0</v>
      </c>
      <c r="H24" s="9">
        <f ca="1">SUMIF(AWPU!$B:$M,$B24,AWPU!$H:$H)</f>
        <v>0</v>
      </c>
      <c r="I24" s="9">
        <f ca="1">SUMIF(AWPU!$B:$M,$B24,AWPU!$I:$I)</f>
        <v>0</v>
      </c>
      <c r="J24" s="9">
        <f t="shared" ca="1" si="1"/>
        <v>270</v>
      </c>
      <c r="K24" s="9">
        <f t="shared" ca="1" si="1"/>
        <v>0</v>
      </c>
      <c r="L24" s="9">
        <f t="shared" ca="1" si="1"/>
        <v>0</v>
      </c>
      <c r="M24" s="9">
        <f t="shared" ca="1" si="2"/>
        <v>270</v>
      </c>
      <c r="N24" s="16">
        <f t="shared" ca="1" si="3"/>
        <v>-20692.8</v>
      </c>
    </row>
    <row r="25" spans="1:15" x14ac:dyDescent="0.2">
      <c r="A25" s="9" t="s">
        <v>26</v>
      </c>
      <c r="B25" s="10">
        <v>2448</v>
      </c>
      <c r="C25" s="9">
        <f ca="1">SUMIF(AWPU!$B:$M,$B25,AWPU!$C:$C)</f>
        <v>334</v>
      </c>
      <c r="D25" s="9">
        <f ca="1">SUMIF(AWPU!$B:$M,$B25,AWPU!$D:$D)</f>
        <v>0</v>
      </c>
      <c r="E25" s="9">
        <f ca="1">SUMIF(AWPU!$B:$M,$B25,AWPU!$E:$E)</f>
        <v>0</v>
      </c>
      <c r="F25" s="9">
        <f t="shared" ca="1" si="0"/>
        <v>334</v>
      </c>
      <c r="G25" s="9">
        <f ca="1">SUMIF(AWPU!$B:$M,$B25,AWPU!$G:$G)</f>
        <v>0</v>
      </c>
      <c r="H25" s="9">
        <f ca="1">SUMIF(AWPU!$B:$M,$B25,AWPU!$H:$H)</f>
        <v>0</v>
      </c>
      <c r="I25" s="9">
        <f ca="1">SUMIF(AWPU!$B:$M,$B25,AWPU!$I:$I)</f>
        <v>0</v>
      </c>
      <c r="J25" s="9">
        <f t="shared" ca="1" si="1"/>
        <v>334</v>
      </c>
      <c r="K25" s="9">
        <f t="shared" ca="1" si="1"/>
        <v>0</v>
      </c>
      <c r="L25" s="9">
        <f t="shared" ca="1" si="1"/>
        <v>0</v>
      </c>
      <c r="M25" s="9">
        <f t="shared" ca="1" si="2"/>
        <v>334</v>
      </c>
      <c r="N25" s="16">
        <f t="shared" ca="1" si="3"/>
        <v>-25597.759999999998</v>
      </c>
    </row>
    <row r="26" spans="1:15" x14ac:dyDescent="0.2">
      <c r="A26" s="9" t="s">
        <v>97</v>
      </c>
      <c r="B26" s="10">
        <v>2467</v>
      </c>
      <c r="C26" s="9">
        <f ca="1">SUMIF(AWPU!$B:$M,$B26,AWPU!$C:$C)</f>
        <v>349</v>
      </c>
      <c r="D26" s="9">
        <f ca="1">SUMIF(AWPU!$B:$M,$B26,AWPU!$D:$D)</f>
        <v>0</v>
      </c>
      <c r="E26" s="9">
        <f ca="1">SUMIF(AWPU!$B:$M,$B26,AWPU!$E:$E)</f>
        <v>0</v>
      </c>
      <c r="F26" s="9">
        <f t="shared" ca="1" si="0"/>
        <v>349</v>
      </c>
      <c r="G26" s="9">
        <f ca="1">SUMIF(AWPU!$B:$M,$B26,AWPU!$G:$G)</f>
        <v>0</v>
      </c>
      <c r="H26" s="9">
        <f ca="1">SUMIF(AWPU!$B:$M,$B26,AWPU!$H:$H)</f>
        <v>0</v>
      </c>
      <c r="I26" s="9">
        <f ca="1">SUMIF(AWPU!$B:$M,$B26,AWPU!$I:$I)</f>
        <v>0</v>
      </c>
      <c r="J26" s="9">
        <f t="shared" ca="1" si="1"/>
        <v>349</v>
      </c>
      <c r="K26" s="9">
        <f t="shared" ca="1" si="1"/>
        <v>0</v>
      </c>
      <c r="L26" s="9">
        <f t="shared" ca="1" si="1"/>
        <v>0</v>
      </c>
      <c r="M26" s="9">
        <f t="shared" ca="1" si="2"/>
        <v>349</v>
      </c>
      <c r="N26" s="16">
        <f t="shared" ca="1" si="3"/>
        <v>-26747.360000000001</v>
      </c>
    </row>
    <row r="27" spans="1:15" x14ac:dyDescent="0.2">
      <c r="A27" s="9" t="s">
        <v>28</v>
      </c>
      <c r="B27" s="10">
        <v>2455</v>
      </c>
      <c r="C27" s="9">
        <f ca="1">SUMIF(AWPU!$B:$M,$B27,AWPU!$C:$C)</f>
        <v>351</v>
      </c>
      <c r="D27" s="9">
        <f ca="1">SUMIF(AWPU!$B:$M,$B27,AWPU!$D:$D)</f>
        <v>0</v>
      </c>
      <c r="E27" s="9">
        <f ca="1">SUMIF(AWPU!$B:$M,$B27,AWPU!$E:$E)</f>
        <v>0</v>
      </c>
      <c r="F27" s="9">
        <f t="shared" ca="1" si="0"/>
        <v>351</v>
      </c>
      <c r="G27" s="9">
        <f ca="1">SUMIF(AWPU!$B:$M,$B27,AWPU!$G:$G)</f>
        <v>0</v>
      </c>
      <c r="H27" s="9">
        <f ca="1">SUMIF(AWPU!$B:$M,$B27,AWPU!$H:$H)</f>
        <v>0</v>
      </c>
      <c r="I27" s="9">
        <f ca="1">SUMIF(AWPU!$B:$M,$B27,AWPU!$I:$I)</f>
        <v>0</v>
      </c>
      <c r="J27" s="9">
        <f t="shared" ca="1" si="1"/>
        <v>351</v>
      </c>
      <c r="K27" s="9">
        <f t="shared" ca="1" si="1"/>
        <v>0</v>
      </c>
      <c r="L27" s="9">
        <f t="shared" ca="1" si="1"/>
        <v>0</v>
      </c>
      <c r="M27" s="9">
        <f t="shared" ca="1" si="2"/>
        <v>351</v>
      </c>
      <c r="N27" s="16">
        <f t="shared" ca="1" si="3"/>
        <v>-26900.639999999999</v>
      </c>
    </row>
    <row r="28" spans="1:15" x14ac:dyDescent="0.2">
      <c r="A28" s="9" t="s">
        <v>29</v>
      </c>
      <c r="B28" s="10">
        <v>5203</v>
      </c>
      <c r="C28" s="9">
        <f ca="1">SUMIF(AWPU!$B:$M,$B28,AWPU!$C:$C)</f>
        <v>485</v>
      </c>
      <c r="D28" s="9">
        <f ca="1">SUMIF(AWPU!$B:$M,$B28,AWPU!$D:$D)</f>
        <v>0</v>
      </c>
      <c r="E28" s="9">
        <f ca="1">SUMIF(AWPU!$B:$M,$B28,AWPU!$E:$E)</f>
        <v>0</v>
      </c>
      <c r="F28" s="9">
        <f t="shared" ca="1" si="0"/>
        <v>485</v>
      </c>
      <c r="G28" s="9">
        <f ca="1">SUMIF(AWPU!$B:$M,$B28,AWPU!$G:$G)</f>
        <v>0</v>
      </c>
      <c r="H28" s="9">
        <f ca="1">SUMIF(AWPU!$B:$M,$B28,AWPU!$H:$H)</f>
        <v>0</v>
      </c>
      <c r="I28" s="9">
        <f ca="1">SUMIF(AWPU!$B:$M,$B28,AWPU!$I:$I)</f>
        <v>0</v>
      </c>
      <c r="J28" s="9">
        <f t="shared" ca="1" si="1"/>
        <v>485</v>
      </c>
      <c r="K28" s="9">
        <f t="shared" ca="1" si="1"/>
        <v>0</v>
      </c>
      <c r="L28" s="9">
        <f t="shared" ca="1" si="1"/>
        <v>0</v>
      </c>
      <c r="M28" s="9">
        <f t="shared" ca="1" si="2"/>
        <v>485</v>
      </c>
      <c r="N28" s="16">
        <f t="shared" ca="1" si="3"/>
        <v>-37170.400000000001</v>
      </c>
    </row>
    <row r="29" spans="1:15" x14ac:dyDescent="0.2">
      <c r="A29" s="9" t="s">
        <v>30</v>
      </c>
      <c r="B29" s="10">
        <v>2451</v>
      </c>
      <c r="C29" s="9">
        <f ca="1">SUMIF(AWPU!$B:$M,$B29,AWPU!$C:$C)</f>
        <v>472</v>
      </c>
      <c r="D29" s="9">
        <f ca="1">SUMIF(AWPU!$B:$M,$B29,AWPU!$D:$D)</f>
        <v>0</v>
      </c>
      <c r="E29" s="9">
        <f ca="1">SUMIF(AWPU!$B:$M,$B29,AWPU!$E:$E)</f>
        <v>0</v>
      </c>
      <c r="F29" s="9">
        <f t="shared" ca="1" si="0"/>
        <v>472</v>
      </c>
      <c r="G29" s="9">
        <f ca="1">SUMIF(AWPU!$B:$M,$B29,AWPU!$G:$G)</f>
        <v>0</v>
      </c>
      <c r="H29" s="9">
        <f ca="1">SUMIF(AWPU!$B:$M,$B29,AWPU!$H:$H)</f>
        <v>0</v>
      </c>
      <c r="I29" s="9">
        <f ca="1">SUMIF(AWPU!$B:$M,$B29,AWPU!$I:$I)</f>
        <v>0</v>
      </c>
      <c r="J29" s="9">
        <f t="shared" ca="1" si="1"/>
        <v>472</v>
      </c>
      <c r="K29" s="9">
        <f t="shared" ca="1" si="1"/>
        <v>0</v>
      </c>
      <c r="L29" s="9">
        <f t="shared" ca="1" si="1"/>
        <v>0</v>
      </c>
      <c r="M29" s="9">
        <f t="shared" ca="1" si="2"/>
        <v>472</v>
      </c>
      <c r="N29" s="16">
        <f t="shared" ca="1" si="3"/>
        <v>-36174.080000000002</v>
      </c>
    </row>
    <row r="30" spans="1:15" x14ac:dyDescent="0.2">
      <c r="A30" s="9" t="s">
        <v>31</v>
      </c>
      <c r="B30" s="10">
        <v>2409</v>
      </c>
      <c r="C30" s="9">
        <f ca="1">SUMIF(AWPU!$B:$M,$B30,AWPU!$C:$C)</f>
        <v>552</v>
      </c>
      <c r="D30" s="9">
        <f ca="1">SUMIF(AWPU!$B:$M,$B30,AWPU!$D:$D)</f>
        <v>0</v>
      </c>
      <c r="E30" s="9">
        <f ca="1">SUMIF(AWPU!$B:$M,$B30,AWPU!$E:$E)</f>
        <v>0</v>
      </c>
      <c r="F30" s="9">
        <f t="shared" ca="1" si="0"/>
        <v>552</v>
      </c>
      <c r="G30" s="9">
        <f ca="1">SUMIF(AWPU!$B:$M,$B30,AWPU!$G:$G)</f>
        <v>0</v>
      </c>
      <c r="H30" s="9">
        <f ca="1">SUMIF(AWPU!$B:$M,$B30,AWPU!$H:$H)</f>
        <v>0</v>
      </c>
      <c r="I30" s="9">
        <f ca="1">SUMIF(AWPU!$B:$M,$B30,AWPU!$I:$I)</f>
        <v>0</v>
      </c>
      <c r="J30" s="9">
        <f t="shared" ca="1" si="1"/>
        <v>552</v>
      </c>
      <c r="K30" s="9">
        <f t="shared" ca="1" si="1"/>
        <v>0</v>
      </c>
      <c r="L30" s="9">
        <f t="shared" ca="1" si="1"/>
        <v>0</v>
      </c>
      <c r="M30" s="9">
        <f t="shared" ca="1" si="2"/>
        <v>552</v>
      </c>
      <c r="N30" s="16">
        <f t="shared" ca="1" si="3"/>
        <v>-42305.279999999999</v>
      </c>
    </row>
    <row r="31" spans="1:15" x14ac:dyDescent="0.2">
      <c r="A31" s="9" t="s">
        <v>98</v>
      </c>
      <c r="B31" s="10">
        <v>3158</v>
      </c>
      <c r="C31" s="9">
        <f ca="1">SUMIF(AWPU!$B:$M,$B31,AWPU!$C:$C)</f>
        <v>120</v>
      </c>
      <c r="D31" s="9">
        <f ca="1">SUMIF(AWPU!$B:$M,$B31,AWPU!$D:$D)</f>
        <v>0</v>
      </c>
      <c r="E31" s="9">
        <f ca="1">SUMIF(AWPU!$B:$M,$B31,AWPU!$E:$E)</f>
        <v>0</v>
      </c>
      <c r="F31" s="9">
        <f t="shared" ca="1" si="0"/>
        <v>120</v>
      </c>
      <c r="G31" s="9">
        <f ca="1">SUMIF(AWPU!$B:$M,$B31,AWPU!$G:$G)</f>
        <v>0</v>
      </c>
      <c r="H31" s="9">
        <f ca="1">SUMIF(AWPU!$B:$M,$B31,AWPU!$H:$H)</f>
        <v>0</v>
      </c>
      <c r="I31" s="9">
        <f ca="1">SUMIF(AWPU!$B:$M,$B31,AWPU!$I:$I)</f>
        <v>0</v>
      </c>
      <c r="J31" s="9">
        <f t="shared" ca="1" si="1"/>
        <v>120</v>
      </c>
      <c r="K31" s="9">
        <f t="shared" ca="1" si="1"/>
        <v>0</v>
      </c>
      <c r="L31" s="9">
        <f t="shared" ca="1" si="1"/>
        <v>0</v>
      </c>
      <c r="M31" s="9">
        <f t="shared" ca="1" si="2"/>
        <v>120</v>
      </c>
      <c r="N31" s="16">
        <f t="shared" ca="1" si="3"/>
        <v>-9196.7999999999993</v>
      </c>
    </row>
    <row r="32" spans="1:15" x14ac:dyDescent="0.2">
      <c r="A32" s="9" t="s">
        <v>32</v>
      </c>
      <c r="B32" s="10">
        <v>2619</v>
      </c>
      <c r="C32" s="9">
        <f ca="1">SUMIF(AWPU!$B:$M,$B32,AWPU!$C:$C)</f>
        <v>204</v>
      </c>
      <c r="D32" s="9">
        <f ca="1">SUMIF(AWPU!$B:$M,$B32,AWPU!$D:$D)</f>
        <v>0</v>
      </c>
      <c r="E32" s="9">
        <f ca="1">SUMIF(AWPU!$B:$M,$B32,AWPU!$E:$E)</f>
        <v>0</v>
      </c>
      <c r="F32" s="9">
        <f t="shared" ca="1" si="0"/>
        <v>204</v>
      </c>
      <c r="G32" s="9">
        <f ca="1">SUMIF(AWPU!$B:$M,$B32,AWPU!$G:$G)</f>
        <v>0</v>
      </c>
      <c r="H32" s="9">
        <f ca="1">SUMIF(AWPU!$B:$M,$B32,AWPU!$H:$H)</f>
        <v>0</v>
      </c>
      <c r="I32" s="9">
        <f ca="1">SUMIF(AWPU!$B:$M,$B32,AWPU!$I:$I)</f>
        <v>0</v>
      </c>
      <c r="J32" s="9">
        <f t="shared" ca="1" si="1"/>
        <v>204</v>
      </c>
      <c r="K32" s="9">
        <f t="shared" ca="1" si="1"/>
        <v>0</v>
      </c>
      <c r="L32" s="9">
        <f t="shared" ca="1" si="1"/>
        <v>0</v>
      </c>
      <c r="M32" s="9">
        <f t="shared" ca="1" si="2"/>
        <v>204</v>
      </c>
      <c r="N32" s="16">
        <f t="shared" ca="1" si="3"/>
        <v>-15634.56</v>
      </c>
    </row>
    <row r="33" spans="1:15" x14ac:dyDescent="0.2">
      <c r="A33" s="9" t="s">
        <v>33</v>
      </c>
      <c r="B33" s="10">
        <v>2518</v>
      </c>
      <c r="C33" s="9">
        <f ca="1">SUMIF(AWPU!$B:$M,$B33,AWPU!$C:$C)</f>
        <v>340</v>
      </c>
      <c r="D33" s="9">
        <f ca="1">SUMIF(AWPU!$B:$M,$B33,AWPU!$D:$D)</f>
        <v>0</v>
      </c>
      <c r="E33" s="9">
        <f ca="1">SUMIF(AWPU!$B:$M,$B33,AWPU!$E:$E)</f>
        <v>0</v>
      </c>
      <c r="F33" s="9">
        <f t="shared" ca="1" si="0"/>
        <v>340</v>
      </c>
      <c r="G33" s="9">
        <f ca="1">SUMIF(AWPU!$B:$M,$B33,AWPU!$G:$G)</f>
        <v>0</v>
      </c>
      <c r="H33" s="9">
        <f ca="1">SUMIF(AWPU!$B:$M,$B33,AWPU!$H:$H)</f>
        <v>0</v>
      </c>
      <c r="I33" s="9">
        <f ca="1">SUMIF(AWPU!$B:$M,$B33,AWPU!$I:$I)</f>
        <v>0</v>
      </c>
      <c r="J33" s="9">
        <f t="shared" ca="1" si="1"/>
        <v>340</v>
      </c>
      <c r="K33" s="9">
        <f t="shared" ca="1" si="1"/>
        <v>0</v>
      </c>
      <c r="L33" s="9">
        <f t="shared" ca="1" si="1"/>
        <v>0</v>
      </c>
      <c r="M33" s="9">
        <f t="shared" ca="1" si="2"/>
        <v>340</v>
      </c>
      <c r="N33" s="16">
        <f t="shared" ca="1" si="3"/>
        <v>-26057.599999999999</v>
      </c>
    </row>
    <row r="34" spans="1:15" x14ac:dyDescent="0.2">
      <c r="A34" s="9" t="s">
        <v>34</v>
      </c>
      <c r="B34" s="10">
        <v>2457</v>
      </c>
      <c r="C34" s="9">
        <f ca="1">SUMIF(AWPU!$B:$M,$B34,AWPU!$C:$C)</f>
        <v>362</v>
      </c>
      <c r="D34" s="9">
        <f ca="1">SUMIF(AWPU!$B:$M,$B34,AWPU!$D:$D)</f>
        <v>0</v>
      </c>
      <c r="E34" s="9">
        <f ca="1">SUMIF(AWPU!$B:$M,$B34,AWPU!$E:$E)</f>
        <v>0</v>
      </c>
      <c r="F34" s="9">
        <f t="shared" ca="1" si="0"/>
        <v>362</v>
      </c>
      <c r="G34" s="9">
        <f ca="1">SUMIF(AWPU!$B:$M,$B34,AWPU!$G:$G)</f>
        <v>0</v>
      </c>
      <c r="H34" s="9">
        <f ca="1">SUMIF(AWPU!$B:$M,$B34,AWPU!$H:$H)</f>
        <v>0</v>
      </c>
      <c r="I34" s="9">
        <f ca="1">SUMIF(AWPU!$B:$M,$B34,AWPU!$I:$I)</f>
        <v>0</v>
      </c>
      <c r="J34" s="9">
        <f t="shared" ca="1" si="1"/>
        <v>362</v>
      </c>
      <c r="K34" s="9">
        <f t="shared" ca="1" si="1"/>
        <v>0</v>
      </c>
      <c r="L34" s="9">
        <f t="shared" ca="1" si="1"/>
        <v>0</v>
      </c>
      <c r="M34" s="9">
        <f t="shared" ca="1" si="2"/>
        <v>362</v>
      </c>
      <c r="N34" s="16">
        <f t="shared" ca="1" si="3"/>
        <v>-27743.68</v>
      </c>
    </row>
    <row r="35" spans="1:15" s="33" customFormat="1" x14ac:dyDescent="0.2">
      <c r="A35" s="805" t="s">
        <v>99</v>
      </c>
      <c r="B35" s="27">
        <v>2010</v>
      </c>
      <c r="C35" s="805"/>
      <c r="D35" s="805"/>
      <c r="E35" s="805"/>
      <c r="F35" s="805"/>
      <c r="G35" s="805"/>
      <c r="H35" s="805"/>
      <c r="I35" s="805"/>
      <c r="J35" s="805"/>
      <c r="K35" s="805"/>
      <c r="L35" s="805"/>
      <c r="M35" s="805"/>
      <c r="N35" s="807"/>
      <c r="O35" s="33" t="s">
        <v>555</v>
      </c>
    </row>
    <row r="36" spans="1:15" x14ac:dyDescent="0.2">
      <c r="A36" s="9" t="s">
        <v>35</v>
      </c>
      <c r="B36" s="10">
        <v>2002</v>
      </c>
      <c r="C36" s="9">
        <f ca="1">SUMIF(AWPU!$B:$M,$B36,AWPU!$C:$C)</f>
        <v>430</v>
      </c>
      <c r="D36" s="9">
        <f ca="1">SUMIF(AWPU!$B:$M,$B36,AWPU!$D:$D)</f>
        <v>0</v>
      </c>
      <c r="E36" s="9">
        <f ca="1">SUMIF(AWPU!$B:$M,$B36,AWPU!$E:$E)</f>
        <v>0</v>
      </c>
      <c r="F36" s="9">
        <f t="shared" ca="1" si="0"/>
        <v>430</v>
      </c>
      <c r="G36" s="9">
        <f ca="1">SUMIF(AWPU!$B:$M,$B36,AWPU!$G:$G)</f>
        <v>0</v>
      </c>
      <c r="H36" s="9">
        <f ca="1">SUMIF(AWPU!$B:$M,$B36,AWPU!$H:$H)</f>
        <v>0</v>
      </c>
      <c r="I36" s="9">
        <f ca="1">SUMIF(AWPU!$B:$M,$B36,AWPU!$I:$I)</f>
        <v>0</v>
      </c>
      <c r="J36" s="9">
        <f t="shared" ca="1" si="1"/>
        <v>430</v>
      </c>
      <c r="K36" s="9">
        <f t="shared" ca="1" si="1"/>
        <v>0</v>
      </c>
      <c r="L36" s="9">
        <f t="shared" ca="1" si="1"/>
        <v>0</v>
      </c>
      <c r="M36" s="9">
        <f t="shared" ca="1" si="2"/>
        <v>430</v>
      </c>
      <c r="N36" s="16">
        <f t="shared" ca="1" si="3"/>
        <v>-32955.199999999997</v>
      </c>
    </row>
    <row r="37" spans="1:15" x14ac:dyDescent="0.2">
      <c r="A37" s="9" t="s">
        <v>36</v>
      </c>
      <c r="B37" s="10">
        <v>3544</v>
      </c>
      <c r="C37" s="9">
        <f ca="1">SUMIF(AWPU!$B:$M,$B37,AWPU!$C:$C)</f>
        <v>537</v>
      </c>
      <c r="D37" s="9">
        <f ca="1">SUMIF(AWPU!$B:$M,$B37,AWPU!$D:$D)</f>
        <v>0</v>
      </c>
      <c r="E37" s="9">
        <f ca="1">SUMIF(AWPU!$B:$M,$B37,AWPU!$E:$E)</f>
        <v>0</v>
      </c>
      <c r="F37" s="9">
        <f t="shared" ca="1" si="0"/>
        <v>537</v>
      </c>
      <c r="G37" s="9">
        <f ca="1">SUMIF(AWPU!$B:$M,$B37,AWPU!$G:$G)</f>
        <v>0</v>
      </c>
      <c r="H37" s="9">
        <f ca="1">SUMIF(AWPU!$B:$M,$B37,AWPU!$H:$H)</f>
        <v>0</v>
      </c>
      <c r="I37" s="9">
        <f ca="1">SUMIF(AWPU!$B:$M,$B37,AWPU!$I:$I)</f>
        <v>0</v>
      </c>
      <c r="J37" s="9">
        <f t="shared" ca="1" si="1"/>
        <v>537</v>
      </c>
      <c r="K37" s="9">
        <f t="shared" ca="1" si="1"/>
        <v>0</v>
      </c>
      <c r="L37" s="9">
        <f t="shared" ca="1" si="1"/>
        <v>0</v>
      </c>
      <c r="M37" s="9">
        <f t="shared" ca="1" si="2"/>
        <v>537</v>
      </c>
      <c r="N37" s="16">
        <f t="shared" ca="1" si="3"/>
        <v>-41155.68</v>
      </c>
    </row>
    <row r="38" spans="1:15" x14ac:dyDescent="0.2">
      <c r="A38" s="9" t="s">
        <v>100</v>
      </c>
      <c r="B38" s="10">
        <v>2006</v>
      </c>
      <c r="C38" s="9">
        <f ca="1">SUMIF(AWPU!$B:$M,$B38,AWPU!$C:$C)</f>
        <v>263</v>
      </c>
      <c r="D38" s="9">
        <f ca="1">SUMIF(AWPU!$B:$M,$B38,AWPU!$D:$D)</f>
        <v>0</v>
      </c>
      <c r="E38" s="9">
        <f ca="1">SUMIF(AWPU!$B:$M,$B38,AWPU!$E:$E)</f>
        <v>0</v>
      </c>
      <c r="F38" s="9">
        <f t="shared" ca="1" si="0"/>
        <v>263</v>
      </c>
      <c r="G38" s="9">
        <f ca="1">SUMIF(AWPU!$B:$M,$B38,AWPU!$G:$G)</f>
        <v>0</v>
      </c>
      <c r="H38" s="9">
        <f ca="1">SUMIF(AWPU!$B:$M,$B38,AWPU!$H:$H)</f>
        <v>0</v>
      </c>
      <c r="I38" s="9">
        <f ca="1">SUMIF(AWPU!$B:$M,$B38,AWPU!$I:$I)</f>
        <v>0</v>
      </c>
      <c r="J38" s="9">
        <f t="shared" ca="1" si="1"/>
        <v>263</v>
      </c>
      <c r="K38" s="9">
        <f t="shared" ca="1" si="1"/>
        <v>0</v>
      </c>
      <c r="L38" s="9">
        <f t="shared" ca="1" si="1"/>
        <v>0</v>
      </c>
      <c r="M38" s="9">
        <f t="shared" ca="1" si="2"/>
        <v>263</v>
      </c>
      <c r="N38" s="16">
        <f t="shared" ca="1" si="3"/>
        <v>-20156.32</v>
      </c>
    </row>
    <row r="39" spans="1:15" x14ac:dyDescent="0.2">
      <c r="A39" s="9" t="s">
        <v>37</v>
      </c>
      <c r="B39" s="10">
        <v>2434</v>
      </c>
      <c r="C39" s="9">
        <f ca="1">SUMIF(AWPU!$B:$M,$B39,AWPU!$C:$C)</f>
        <v>473</v>
      </c>
      <c r="D39" s="9">
        <f ca="1">SUMIF(AWPU!$B:$M,$B39,AWPU!$D:$D)</f>
        <v>0</v>
      </c>
      <c r="E39" s="9">
        <f ca="1">SUMIF(AWPU!$B:$M,$B39,AWPU!$E:$E)</f>
        <v>0</v>
      </c>
      <c r="F39" s="9">
        <f t="shared" ca="1" si="0"/>
        <v>473</v>
      </c>
      <c r="G39" s="9">
        <f ca="1">SUMIF(AWPU!$B:$M,$B39,AWPU!$G:$G)</f>
        <v>12</v>
      </c>
      <c r="H39" s="9">
        <f ca="1">SUMIF(AWPU!$B:$M,$B39,AWPU!$H:$H)</f>
        <v>0</v>
      </c>
      <c r="I39" s="9">
        <f ca="1">SUMIF(AWPU!$B:$M,$B39,AWPU!$I:$I)</f>
        <v>0</v>
      </c>
      <c r="J39" s="9">
        <f t="shared" ca="1" si="1"/>
        <v>461</v>
      </c>
      <c r="K39" s="9">
        <f t="shared" ca="1" si="1"/>
        <v>0</v>
      </c>
      <c r="L39" s="9">
        <f t="shared" ca="1" si="1"/>
        <v>0</v>
      </c>
      <c r="M39" s="9">
        <f t="shared" ca="1" si="2"/>
        <v>461</v>
      </c>
      <c r="N39" s="16">
        <f t="shared" ca="1" si="3"/>
        <v>-35331.040000000001</v>
      </c>
    </row>
    <row r="40" spans="1:15" x14ac:dyDescent="0.2">
      <c r="A40" s="9" t="s">
        <v>38</v>
      </c>
      <c r="B40" s="10">
        <v>2522</v>
      </c>
      <c r="C40" s="9">
        <f ca="1">SUMIF(AWPU!$B:$M,$B40,AWPU!$C:$C)</f>
        <v>388</v>
      </c>
      <c r="D40" s="9">
        <f ca="1">SUMIF(AWPU!$B:$M,$B40,AWPU!$D:$D)</f>
        <v>0</v>
      </c>
      <c r="E40" s="9">
        <f ca="1">SUMIF(AWPU!$B:$M,$B40,AWPU!$E:$E)</f>
        <v>0</v>
      </c>
      <c r="F40" s="9">
        <f t="shared" ca="1" si="0"/>
        <v>388</v>
      </c>
      <c r="G40" s="9">
        <f ca="1">SUMIF(AWPU!$B:$M,$B40,AWPU!$G:$G)</f>
        <v>0</v>
      </c>
      <c r="H40" s="9">
        <f ca="1">SUMIF(AWPU!$B:$M,$B40,AWPU!$H:$H)</f>
        <v>0</v>
      </c>
      <c r="I40" s="9">
        <f ca="1">SUMIF(AWPU!$B:$M,$B40,AWPU!$I:$I)</f>
        <v>0</v>
      </c>
      <c r="J40" s="9">
        <f t="shared" ca="1" si="1"/>
        <v>388</v>
      </c>
      <c r="K40" s="9">
        <f t="shared" ca="1" si="1"/>
        <v>0</v>
      </c>
      <c r="L40" s="9">
        <f t="shared" ca="1" si="1"/>
        <v>0</v>
      </c>
      <c r="M40" s="9">
        <f t="shared" ca="1" si="2"/>
        <v>388</v>
      </c>
      <c r="N40" s="16">
        <f t="shared" ca="1" si="3"/>
        <v>-29736.32</v>
      </c>
    </row>
    <row r="41" spans="1:15" x14ac:dyDescent="0.2">
      <c r="A41" s="9" t="s">
        <v>39</v>
      </c>
      <c r="B41" s="10">
        <v>2436</v>
      </c>
      <c r="C41" s="9">
        <f ca="1">SUMIF(AWPU!$B:$M,$B41,AWPU!$C:$C)</f>
        <v>342</v>
      </c>
      <c r="D41" s="9">
        <f ca="1">SUMIF(AWPU!$B:$M,$B41,AWPU!$D:$D)</f>
        <v>0</v>
      </c>
      <c r="E41" s="9">
        <f ca="1">SUMIF(AWPU!$B:$M,$B41,AWPU!$E:$E)</f>
        <v>0</v>
      </c>
      <c r="F41" s="9">
        <f t="shared" ca="1" si="0"/>
        <v>342</v>
      </c>
      <c r="G41" s="9">
        <f ca="1">SUMIF(AWPU!$B:$M,$B41,AWPU!$G:$G)</f>
        <v>6</v>
      </c>
      <c r="H41" s="9">
        <f ca="1">SUMIF(AWPU!$B:$M,$B41,AWPU!$H:$H)</f>
        <v>0</v>
      </c>
      <c r="I41" s="9">
        <f ca="1">SUMIF(AWPU!$B:$M,$B41,AWPU!$I:$I)</f>
        <v>0</v>
      </c>
      <c r="J41" s="9">
        <f t="shared" ca="1" si="1"/>
        <v>336</v>
      </c>
      <c r="K41" s="9">
        <f t="shared" ca="1" si="1"/>
        <v>0</v>
      </c>
      <c r="L41" s="9">
        <f t="shared" ca="1" si="1"/>
        <v>0</v>
      </c>
      <c r="M41" s="9">
        <f t="shared" ca="1" si="2"/>
        <v>336</v>
      </c>
      <c r="N41" s="16">
        <f t="shared" ca="1" si="3"/>
        <v>-25751.040000000001</v>
      </c>
    </row>
    <row r="42" spans="1:15" x14ac:dyDescent="0.2">
      <c r="A42" s="9" t="s">
        <v>40</v>
      </c>
      <c r="B42" s="10">
        <v>2452</v>
      </c>
      <c r="C42" s="9">
        <f ca="1">SUMIF(AWPU!$B:$M,$B42,AWPU!$C:$C)</f>
        <v>202</v>
      </c>
      <c r="D42" s="9">
        <f ca="1">SUMIF(AWPU!$B:$M,$B42,AWPU!$D:$D)</f>
        <v>0</v>
      </c>
      <c r="E42" s="9">
        <f ca="1">SUMIF(AWPU!$B:$M,$B42,AWPU!$E:$E)</f>
        <v>0</v>
      </c>
      <c r="F42" s="9">
        <f t="shared" ca="1" si="0"/>
        <v>202</v>
      </c>
      <c r="G42" s="9">
        <f ca="1">SUMIF(AWPU!$B:$M,$B42,AWPU!$G:$G)</f>
        <v>0</v>
      </c>
      <c r="H42" s="9">
        <f ca="1">SUMIF(AWPU!$B:$M,$B42,AWPU!$H:$H)</f>
        <v>0</v>
      </c>
      <c r="I42" s="9">
        <f ca="1">SUMIF(AWPU!$B:$M,$B42,AWPU!$I:$I)</f>
        <v>0</v>
      </c>
      <c r="J42" s="9">
        <f t="shared" ca="1" si="1"/>
        <v>202</v>
      </c>
      <c r="K42" s="9">
        <f t="shared" ca="1" si="1"/>
        <v>0</v>
      </c>
      <c r="L42" s="9">
        <f t="shared" ca="1" si="1"/>
        <v>0</v>
      </c>
      <c r="M42" s="9">
        <f t="shared" ca="1" si="2"/>
        <v>202</v>
      </c>
      <c r="N42" s="16">
        <f ca="1">SUM(J42*$J$1)+SUM(K42*$K$3)+SUM(L42*$L$4)</f>
        <v>-15481.28</v>
      </c>
    </row>
    <row r="43" spans="1:15" x14ac:dyDescent="0.2">
      <c r="A43" s="9" t="s">
        <v>41</v>
      </c>
      <c r="B43" s="10">
        <v>2627</v>
      </c>
      <c r="C43" s="9">
        <f ca="1">SUMIF(AWPU!$B:$M,$B43,AWPU!$C:$C)</f>
        <v>392</v>
      </c>
      <c r="D43" s="9">
        <f ca="1">SUMIF(AWPU!$B:$M,$B43,AWPU!$D:$D)</f>
        <v>0</v>
      </c>
      <c r="E43" s="9">
        <f ca="1">SUMIF(AWPU!$B:$M,$B43,AWPU!$E:$E)</f>
        <v>0</v>
      </c>
      <c r="F43" s="9">
        <f t="shared" ca="1" si="0"/>
        <v>392</v>
      </c>
      <c r="G43" s="9">
        <f ca="1">SUMIF(AWPU!$B:$M,$B43,AWPU!$G:$G)</f>
        <v>0</v>
      </c>
      <c r="H43" s="9">
        <f ca="1">SUMIF(AWPU!$B:$M,$B43,AWPU!$H:$H)</f>
        <v>0</v>
      </c>
      <c r="I43" s="9">
        <f ca="1">SUMIF(AWPU!$B:$M,$B43,AWPU!$I:$I)</f>
        <v>0</v>
      </c>
      <c r="J43" s="9">
        <f t="shared" ca="1" si="1"/>
        <v>392</v>
      </c>
      <c r="K43" s="9">
        <f t="shared" ca="1" si="1"/>
        <v>0</v>
      </c>
      <c r="L43" s="9">
        <f t="shared" ca="1" si="1"/>
        <v>0</v>
      </c>
      <c r="M43" s="9">
        <f t="shared" ca="1" si="2"/>
        <v>392</v>
      </c>
      <c r="N43" s="16">
        <f t="shared" ca="1" si="3"/>
        <v>-30042.880000000001</v>
      </c>
    </row>
    <row r="44" spans="1:15" s="33" customFormat="1" x14ac:dyDescent="0.2">
      <c r="A44" s="805" t="s">
        <v>42</v>
      </c>
      <c r="B44" s="27">
        <v>2009</v>
      </c>
      <c r="C44" s="805"/>
      <c r="D44" s="805"/>
      <c r="E44" s="805"/>
      <c r="F44" s="805"/>
      <c r="G44" s="805"/>
      <c r="H44" s="805"/>
      <c r="I44" s="805"/>
      <c r="J44" s="805"/>
      <c r="K44" s="805"/>
      <c r="L44" s="805"/>
      <c r="M44" s="805"/>
      <c r="N44" s="807"/>
      <c r="O44" s="33" t="s">
        <v>555</v>
      </c>
    </row>
    <row r="45" spans="1:15" x14ac:dyDescent="0.2">
      <c r="A45" s="9" t="s">
        <v>101</v>
      </c>
      <c r="B45" s="10">
        <v>2473</v>
      </c>
      <c r="C45" s="9">
        <f ca="1">SUMIF(AWPU!$B:$M,$B45,AWPU!$C:$C)</f>
        <v>269</v>
      </c>
      <c r="D45" s="9">
        <f ca="1">SUMIF(AWPU!$B:$M,$B45,AWPU!$D:$D)</f>
        <v>0</v>
      </c>
      <c r="E45" s="9">
        <f ca="1">SUMIF(AWPU!$B:$M,$B45,AWPU!$E:$E)</f>
        <v>0</v>
      </c>
      <c r="F45" s="9">
        <f t="shared" ca="1" si="0"/>
        <v>269</v>
      </c>
      <c r="G45" s="9">
        <f ca="1">SUMIF(AWPU!$B:$M,$B45,AWPU!$G:$G)</f>
        <v>0</v>
      </c>
      <c r="H45" s="9">
        <f ca="1">SUMIF(AWPU!$B:$M,$B45,AWPU!$H:$H)</f>
        <v>0</v>
      </c>
      <c r="I45" s="9">
        <f ca="1">SUMIF(AWPU!$B:$M,$B45,AWPU!$I:$I)</f>
        <v>0</v>
      </c>
      <c r="J45" s="9">
        <f t="shared" ca="1" si="1"/>
        <v>269</v>
      </c>
      <c r="K45" s="9">
        <f t="shared" ca="1" si="1"/>
        <v>0</v>
      </c>
      <c r="L45" s="9">
        <f t="shared" ca="1" si="1"/>
        <v>0</v>
      </c>
      <c r="M45" s="9">
        <f t="shared" ca="1" si="2"/>
        <v>269</v>
      </c>
      <c r="N45" s="16">
        <f ca="1">SUM(J45*$J$1)+SUM(K45*$K$3)+SUM(L45*$L$4)</f>
        <v>-20616.16</v>
      </c>
    </row>
    <row r="46" spans="1:15" x14ac:dyDescent="0.2">
      <c r="A46" s="9" t="s">
        <v>44</v>
      </c>
      <c r="B46" s="10">
        <v>2471</v>
      </c>
      <c r="C46" s="9">
        <f ca="1">SUMIF(AWPU!$B:$M,$B46,AWPU!$C:$C)</f>
        <v>350</v>
      </c>
      <c r="D46" s="9">
        <f ca="1">SUMIF(AWPU!$B:$M,$B46,AWPU!$D:$D)</f>
        <v>0</v>
      </c>
      <c r="E46" s="9">
        <f ca="1">SUMIF(AWPU!$B:$M,$B46,AWPU!$E:$E)</f>
        <v>0</v>
      </c>
      <c r="F46" s="9">
        <f t="shared" ca="1" si="0"/>
        <v>350</v>
      </c>
      <c r="G46" s="9">
        <f ca="1">SUMIF(AWPU!$B:$M,$B46,AWPU!$G:$G)</f>
        <v>0</v>
      </c>
      <c r="H46" s="9">
        <f ca="1">SUMIF(AWPU!$B:$M,$B46,AWPU!$H:$H)</f>
        <v>0</v>
      </c>
      <c r="I46" s="9">
        <f ca="1">SUMIF(AWPU!$B:$M,$B46,AWPU!$I:$I)</f>
        <v>0</v>
      </c>
      <c r="J46" s="9">
        <f t="shared" ca="1" si="1"/>
        <v>350</v>
      </c>
      <c r="K46" s="9">
        <f t="shared" ca="1" si="1"/>
        <v>0</v>
      </c>
      <c r="L46" s="9">
        <f t="shared" ca="1" si="1"/>
        <v>0</v>
      </c>
      <c r="M46" s="9">
        <f t="shared" ca="1" si="2"/>
        <v>350</v>
      </c>
      <c r="N46" s="16">
        <f t="shared" ca="1" si="3"/>
        <v>-26824</v>
      </c>
    </row>
    <row r="47" spans="1:15" x14ac:dyDescent="0.2">
      <c r="A47" s="9" t="s">
        <v>43</v>
      </c>
      <c r="B47" s="10">
        <v>2420</v>
      </c>
      <c r="C47" s="9">
        <f ca="1">SUMIF(AWPU!$B:$M,$B47,AWPU!$C:$C)</f>
        <v>503</v>
      </c>
      <c r="D47" s="9">
        <f ca="1">SUMIF(AWPU!$B:$M,$B47,AWPU!$D:$D)</f>
        <v>0</v>
      </c>
      <c r="E47" s="9">
        <f ca="1">SUMIF(AWPU!$B:$M,$B47,AWPU!$E:$E)</f>
        <v>0</v>
      </c>
      <c r="F47" s="9">
        <f t="shared" ca="1" si="0"/>
        <v>503</v>
      </c>
      <c r="G47" s="9">
        <f ca="1">SUMIF(AWPU!$B:$M,$B47,AWPU!$G:$G)</f>
        <v>0</v>
      </c>
      <c r="H47" s="9">
        <f ca="1">SUMIF(AWPU!$B:$M,$B47,AWPU!$H:$H)</f>
        <v>0</v>
      </c>
      <c r="I47" s="9">
        <f ca="1">SUMIF(AWPU!$B:$M,$B47,AWPU!$I:$I)</f>
        <v>0</v>
      </c>
      <c r="J47" s="9">
        <f t="shared" ca="1" si="1"/>
        <v>503</v>
      </c>
      <c r="K47" s="9">
        <f t="shared" ca="1" si="1"/>
        <v>0</v>
      </c>
      <c r="L47" s="9">
        <f t="shared" ca="1" si="1"/>
        <v>0</v>
      </c>
      <c r="M47" s="9">
        <f t="shared" ca="1" si="2"/>
        <v>503</v>
      </c>
      <c r="N47" s="16">
        <f t="shared" ca="1" si="3"/>
        <v>-38549.919999999998</v>
      </c>
    </row>
    <row r="48" spans="1:15" x14ac:dyDescent="0.2">
      <c r="A48" s="9" t="s">
        <v>45</v>
      </c>
      <c r="B48" s="10">
        <v>2003</v>
      </c>
      <c r="C48" s="9">
        <f ca="1">SUMIF(AWPU!$B:$M,$B48,AWPU!$C:$C)</f>
        <v>213</v>
      </c>
      <c r="D48" s="9">
        <f ca="1">SUMIF(AWPU!$B:$M,$B48,AWPU!$D:$D)</f>
        <v>0</v>
      </c>
      <c r="E48" s="9">
        <f ca="1">SUMIF(AWPU!$B:$M,$B48,AWPU!$E:$E)</f>
        <v>0</v>
      </c>
      <c r="F48" s="9">
        <f t="shared" ca="1" si="0"/>
        <v>213</v>
      </c>
      <c r="G48" s="9">
        <f ca="1">SUMIF(AWPU!$B:$M,$B48,AWPU!$G:$G)</f>
        <v>0</v>
      </c>
      <c r="H48" s="9">
        <f ca="1">SUMIF(AWPU!$B:$M,$B48,AWPU!$H:$H)</f>
        <v>0</v>
      </c>
      <c r="I48" s="9">
        <f ca="1">SUMIF(AWPU!$B:$M,$B48,AWPU!$I:$I)</f>
        <v>0</v>
      </c>
      <c r="J48" s="9">
        <f t="shared" ca="1" si="1"/>
        <v>213</v>
      </c>
      <c r="K48" s="9">
        <f t="shared" ca="1" si="1"/>
        <v>0</v>
      </c>
      <c r="L48" s="9">
        <f t="shared" ca="1" si="1"/>
        <v>0</v>
      </c>
      <c r="M48" s="9">
        <f t="shared" ca="1" si="2"/>
        <v>213</v>
      </c>
      <c r="N48" s="16">
        <f t="shared" ca="1" si="3"/>
        <v>-16324.32</v>
      </c>
    </row>
    <row r="49" spans="1:14" x14ac:dyDescent="0.2">
      <c r="A49" s="9" t="s">
        <v>46</v>
      </c>
      <c r="B49" s="10">
        <v>2423</v>
      </c>
      <c r="C49" s="9">
        <f ca="1">SUMIF(AWPU!$B:$M,$B49,AWPU!$C:$C)</f>
        <v>333</v>
      </c>
      <c r="D49" s="9">
        <f ca="1">SUMIF(AWPU!$B:$M,$B49,AWPU!$D:$D)</f>
        <v>0</v>
      </c>
      <c r="E49" s="9">
        <f ca="1">SUMIF(AWPU!$B:$M,$B49,AWPU!$E:$E)</f>
        <v>0</v>
      </c>
      <c r="F49" s="9">
        <f t="shared" ca="1" si="0"/>
        <v>333</v>
      </c>
      <c r="G49" s="9">
        <f ca="1">SUMIF(AWPU!$B:$M,$B49,AWPU!$G:$G)</f>
        <v>0</v>
      </c>
      <c r="H49" s="9">
        <f ca="1">SUMIF(AWPU!$B:$M,$B49,AWPU!$H:$H)</f>
        <v>0</v>
      </c>
      <c r="I49" s="9">
        <f ca="1">SUMIF(AWPU!$B:$M,$B49,AWPU!$I:$I)</f>
        <v>0</v>
      </c>
      <c r="J49" s="9">
        <f t="shared" ca="1" si="1"/>
        <v>333</v>
      </c>
      <c r="K49" s="9">
        <f t="shared" ca="1" si="1"/>
        <v>0</v>
      </c>
      <c r="L49" s="9">
        <f t="shared" ca="1" si="1"/>
        <v>0</v>
      </c>
      <c r="M49" s="9">
        <f t="shared" ca="1" si="2"/>
        <v>333</v>
      </c>
      <c r="N49" s="16">
        <f t="shared" ca="1" si="3"/>
        <v>-25521.119999999999</v>
      </c>
    </row>
    <row r="50" spans="1:14" x14ac:dyDescent="0.2">
      <c r="A50" s="9" t="s">
        <v>47</v>
      </c>
      <c r="B50" s="10">
        <v>2424</v>
      </c>
      <c r="C50" s="9">
        <f ca="1">SUMIF(AWPU!$B:$M,$B50,AWPU!$C:$C)</f>
        <v>270</v>
      </c>
      <c r="D50" s="9">
        <f ca="1">SUMIF(AWPU!$B:$M,$B50,AWPU!$D:$D)</f>
        <v>0</v>
      </c>
      <c r="E50" s="9">
        <f ca="1">SUMIF(AWPU!$B:$M,$B50,AWPU!$E:$E)</f>
        <v>0</v>
      </c>
      <c r="F50" s="9">
        <f t="shared" ca="1" si="0"/>
        <v>270</v>
      </c>
      <c r="G50" s="9">
        <f ca="1">SUMIF(AWPU!$B:$M,$B50,AWPU!$G:$G)</f>
        <v>0</v>
      </c>
      <c r="H50" s="9">
        <f ca="1">SUMIF(AWPU!$B:$M,$B50,AWPU!$H:$H)</f>
        <v>0</v>
      </c>
      <c r="I50" s="9">
        <f ca="1">SUMIF(AWPU!$B:$M,$B50,AWPU!$I:$I)</f>
        <v>0</v>
      </c>
      <c r="J50" s="9">
        <f t="shared" ca="1" si="1"/>
        <v>270</v>
      </c>
      <c r="K50" s="9">
        <f t="shared" ca="1" si="1"/>
        <v>0</v>
      </c>
      <c r="L50" s="9">
        <f t="shared" ca="1" si="1"/>
        <v>0</v>
      </c>
      <c r="M50" s="9">
        <f t="shared" ca="1" si="2"/>
        <v>270</v>
      </c>
      <c r="N50" s="16">
        <f t="shared" ca="1" si="3"/>
        <v>-20692.8</v>
      </c>
    </row>
    <row r="51" spans="1:14" x14ac:dyDescent="0.2">
      <c r="A51" s="9" t="s">
        <v>48</v>
      </c>
      <c r="B51" s="10">
        <v>2439</v>
      </c>
      <c r="C51" s="9">
        <f ca="1">SUMIF(AWPU!$B:$M,$B51,AWPU!$C:$C)</f>
        <v>256</v>
      </c>
      <c r="D51" s="9">
        <f ca="1">SUMIF(AWPU!$B:$M,$B51,AWPU!$D:$D)</f>
        <v>0</v>
      </c>
      <c r="E51" s="9">
        <f ca="1">SUMIF(AWPU!$B:$M,$B51,AWPU!$E:$E)</f>
        <v>0</v>
      </c>
      <c r="F51" s="9">
        <f t="shared" ca="1" si="0"/>
        <v>256</v>
      </c>
      <c r="G51" s="9">
        <f ca="1">SUMIF(AWPU!$B:$M,$B51,AWPU!$G:$G)</f>
        <v>0</v>
      </c>
      <c r="H51" s="9">
        <f ca="1">SUMIF(AWPU!$B:$M,$B51,AWPU!$H:$H)</f>
        <v>0</v>
      </c>
      <c r="I51" s="9">
        <f ca="1">SUMIF(AWPU!$B:$M,$B51,AWPU!$I:$I)</f>
        <v>0</v>
      </c>
      <c r="J51" s="9">
        <f t="shared" ca="1" si="1"/>
        <v>256</v>
      </c>
      <c r="K51" s="9">
        <f t="shared" ca="1" si="1"/>
        <v>0</v>
      </c>
      <c r="L51" s="9">
        <f t="shared" ca="1" si="1"/>
        <v>0</v>
      </c>
      <c r="M51" s="9">
        <f t="shared" ca="1" si="2"/>
        <v>256</v>
      </c>
      <c r="N51" s="16">
        <f t="shared" ca="1" si="3"/>
        <v>-19619.84</v>
      </c>
    </row>
    <row r="52" spans="1:14" x14ac:dyDescent="0.2">
      <c r="A52" s="9" t="s">
        <v>49</v>
      </c>
      <c r="B52" s="10">
        <v>2440</v>
      </c>
      <c r="C52" s="9">
        <f ca="1">SUMIF(AWPU!$B:$M,$B52,AWPU!$C:$C)</f>
        <v>326</v>
      </c>
      <c r="D52" s="9">
        <f ca="1">SUMIF(AWPU!$B:$M,$B52,AWPU!$D:$D)</f>
        <v>0</v>
      </c>
      <c r="E52" s="9">
        <f ca="1">SUMIF(AWPU!$B:$M,$B52,AWPU!$E:$E)</f>
        <v>0</v>
      </c>
      <c r="F52" s="9">
        <f t="shared" ca="1" si="0"/>
        <v>326</v>
      </c>
      <c r="G52" s="9">
        <f ca="1">SUMIF(AWPU!$B:$M,$B52,AWPU!$G:$G)</f>
        <v>0</v>
      </c>
      <c r="H52" s="9">
        <f ca="1">SUMIF(AWPU!$B:$M,$B52,AWPU!$H:$H)</f>
        <v>0</v>
      </c>
      <c r="I52" s="9">
        <f ca="1">SUMIF(AWPU!$B:$M,$B52,AWPU!$I:$I)</f>
        <v>0</v>
      </c>
      <c r="J52" s="9">
        <f t="shared" ca="1" si="1"/>
        <v>326</v>
      </c>
      <c r="K52" s="9">
        <f t="shared" ca="1" si="1"/>
        <v>0</v>
      </c>
      <c r="L52" s="9">
        <f t="shared" ca="1" si="1"/>
        <v>0</v>
      </c>
      <c r="M52" s="9">
        <f t="shared" ca="1" si="2"/>
        <v>326</v>
      </c>
      <c r="N52" s="16">
        <f t="shared" ca="1" si="3"/>
        <v>-24984.639999999999</v>
      </c>
    </row>
    <row r="53" spans="1:14" x14ac:dyDescent="0.2">
      <c r="A53" s="9" t="s">
        <v>102</v>
      </c>
      <c r="B53" s="10">
        <v>2462</v>
      </c>
      <c r="C53" s="9">
        <f ca="1">SUMIF(AWPU!$B:$M,$B53,AWPU!$C:$C)</f>
        <v>238</v>
      </c>
      <c r="D53" s="9">
        <f ca="1">SUMIF(AWPU!$B:$M,$B53,AWPU!$D:$D)</f>
        <v>0</v>
      </c>
      <c r="E53" s="9">
        <f ca="1">SUMIF(AWPU!$B:$M,$B53,AWPU!$E:$E)</f>
        <v>0</v>
      </c>
      <c r="F53" s="9">
        <f t="shared" ca="1" si="0"/>
        <v>238</v>
      </c>
      <c r="G53" s="9">
        <f ca="1">SUMIF(AWPU!$B:$M,$B53,AWPU!$G:$G)</f>
        <v>0</v>
      </c>
      <c r="H53" s="9">
        <f ca="1">SUMIF(AWPU!$B:$M,$B53,AWPU!$H:$H)</f>
        <v>0</v>
      </c>
      <c r="I53" s="9">
        <f ca="1">SUMIF(AWPU!$B:$M,$B53,AWPU!$I:$I)</f>
        <v>0</v>
      </c>
      <c r="J53" s="9">
        <f t="shared" ca="1" si="1"/>
        <v>238</v>
      </c>
      <c r="K53" s="9">
        <f t="shared" ca="1" si="1"/>
        <v>0</v>
      </c>
      <c r="L53" s="9">
        <f t="shared" ca="1" si="1"/>
        <v>0</v>
      </c>
      <c r="M53" s="9">
        <f t="shared" ca="1" si="2"/>
        <v>238</v>
      </c>
      <c r="N53" s="16">
        <f t="shared" ca="1" si="3"/>
        <v>-18240.32</v>
      </c>
    </row>
    <row r="54" spans="1:14" x14ac:dyDescent="0.2">
      <c r="A54" s="9" t="s">
        <v>50</v>
      </c>
      <c r="B54" s="10">
        <v>2463</v>
      </c>
      <c r="C54" s="9">
        <f ca="1">SUMIF(AWPU!$B:$M,$B54,AWPU!$C:$C)</f>
        <v>336</v>
      </c>
      <c r="D54" s="9">
        <f ca="1">SUMIF(AWPU!$B:$M,$B54,AWPU!$D:$D)</f>
        <v>0</v>
      </c>
      <c r="E54" s="9">
        <f ca="1">SUMIF(AWPU!$B:$M,$B54,AWPU!$E:$E)</f>
        <v>0</v>
      </c>
      <c r="F54" s="9">
        <f t="shared" ca="1" si="0"/>
        <v>336</v>
      </c>
      <c r="G54" s="9">
        <f ca="1">SUMIF(AWPU!$B:$M,$B54,AWPU!$G:$G)</f>
        <v>0</v>
      </c>
      <c r="H54" s="9">
        <f ca="1">SUMIF(AWPU!$B:$M,$B54,AWPU!$H:$H)</f>
        <v>0</v>
      </c>
      <c r="I54" s="9">
        <f ca="1">SUMIF(AWPU!$B:$M,$B54,AWPU!$I:$I)</f>
        <v>0</v>
      </c>
      <c r="J54" s="9">
        <f t="shared" ca="1" si="1"/>
        <v>336</v>
      </c>
      <c r="K54" s="9">
        <f t="shared" ca="1" si="1"/>
        <v>0</v>
      </c>
      <c r="L54" s="9">
        <f t="shared" ca="1" si="1"/>
        <v>0</v>
      </c>
      <c r="M54" s="9">
        <f t="shared" ca="1" si="2"/>
        <v>336</v>
      </c>
      <c r="N54" s="16">
        <f t="shared" ca="1" si="3"/>
        <v>-25751.040000000001</v>
      </c>
    </row>
    <row r="55" spans="1:14" x14ac:dyDescent="0.2">
      <c r="A55" s="9" t="s">
        <v>51</v>
      </c>
      <c r="B55" s="10">
        <v>2505</v>
      </c>
      <c r="C55" s="9">
        <f ca="1">SUMIF(AWPU!$B:$M,$B55,AWPU!$C:$C)</f>
        <v>523</v>
      </c>
      <c r="D55" s="9">
        <f ca="1">SUMIF(AWPU!$B:$M,$B55,AWPU!$D:$D)</f>
        <v>0</v>
      </c>
      <c r="E55" s="9">
        <f ca="1">SUMIF(AWPU!$B:$M,$B55,AWPU!$E:$E)</f>
        <v>0</v>
      </c>
      <c r="F55" s="9">
        <f t="shared" ca="1" si="0"/>
        <v>523</v>
      </c>
      <c r="G55" s="9">
        <f ca="1">SUMIF(AWPU!$B:$M,$B55,AWPU!$G:$G)</f>
        <v>0</v>
      </c>
      <c r="H55" s="9">
        <f ca="1">SUMIF(AWPU!$B:$M,$B55,AWPU!$H:$H)</f>
        <v>0</v>
      </c>
      <c r="I55" s="9">
        <f ca="1">SUMIF(AWPU!$B:$M,$B55,AWPU!$I:$I)</f>
        <v>0</v>
      </c>
      <c r="J55" s="9">
        <f t="shared" ca="1" si="1"/>
        <v>523</v>
      </c>
      <c r="K55" s="9">
        <f t="shared" ca="1" si="1"/>
        <v>0</v>
      </c>
      <c r="L55" s="9">
        <f t="shared" ca="1" si="1"/>
        <v>0</v>
      </c>
      <c r="M55" s="9">
        <f t="shared" ca="1" si="2"/>
        <v>523</v>
      </c>
      <c r="N55" s="16">
        <f t="shared" ca="1" si="3"/>
        <v>-40082.720000000001</v>
      </c>
    </row>
    <row r="56" spans="1:14" x14ac:dyDescent="0.2">
      <c r="A56" s="9" t="s">
        <v>52</v>
      </c>
      <c r="B56" s="10">
        <v>2000</v>
      </c>
      <c r="C56" s="9">
        <f ca="1">SUMIF(AWPU!$B:$M,$B56,AWPU!$C:$C)</f>
        <v>326</v>
      </c>
      <c r="D56" s="9">
        <f ca="1">SUMIF(AWPU!$B:$M,$B56,AWPU!$D:$D)</f>
        <v>0</v>
      </c>
      <c r="E56" s="9">
        <f ca="1">SUMIF(AWPU!$B:$M,$B56,AWPU!$E:$E)</f>
        <v>0</v>
      </c>
      <c r="F56" s="9">
        <f t="shared" ca="1" si="0"/>
        <v>326</v>
      </c>
      <c r="G56" s="9">
        <f ca="1">SUMIF(AWPU!$B:$M,$B56,AWPU!$G:$G)</f>
        <v>28</v>
      </c>
      <c r="H56" s="9">
        <f ca="1">SUMIF(AWPU!$B:$M,$B56,AWPU!$H:$H)</f>
        <v>0</v>
      </c>
      <c r="I56" s="9">
        <f ca="1">SUMIF(AWPU!$B:$M,$B56,AWPU!$I:$I)</f>
        <v>0</v>
      </c>
      <c r="J56" s="9">
        <f t="shared" ca="1" si="1"/>
        <v>298</v>
      </c>
      <c r="K56" s="9">
        <f t="shared" ca="1" si="1"/>
        <v>0</v>
      </c>
      <c r="L56" s="9">
        <f t="shared" ca="1" si="1"/>
        <v>0</v>
      </c>
      <c r="M56" s="9">
        <f t="shared" ca="1" si="2"/>
        <v>298</v>
      </c>
      <c r="N56" s="16">
        <f t="shared" ca="1" si="3"/>
        <v>-22838.720000000001</v>
      </c>
    </row>
    <row r="57" spans="1:14" x14ac:dyDescent="0.2">
      <c r="A57" s="9" t="s">
        <v>53</v>
      </c>
      <c r="B57" s="10">
        <v>2458</v>
      </c>
      <c r="C57" s="9">
        <f ca="1">SUMIF(AWPU!$B:$M,$B57,AWPU!$C:$C)</f>
        <v>270</v>
      </c>
      <c r="D57" s="9">
        <f ca="1">SUMIF(AWPU!$B:$M,$B57,AWPU!$D:$D)</f>
        <v>0</v>
      </c>
      <c r="E57" s="9">
        <f ca="1">SUMIF(AWPU!$B:$M,$B57,AWPU!$E:$E)</f>
        <v>0</v>
      </c>
      <c r="F57" s="9">
        <f t="shared" ca="1" si="0"/>
        <v>270</v>
      </c>
      <c r="G57" s="9">
        <f ca="1">SUMIF(AWPU!$B:$M,$B57,AWPU!$G:$G)</f>
        <v>0</v>
      </c>
      <c r="H57" s="9">
        <f ca="1">SUMIF(AWPU!$B:$M,$B57,AWPU!$H:$H)</f>
        <v>0</v>
      </c>
      <c r="I57" s="9">
        <f ca="1">SUMIF(AWPU!$B:$M,$B57,AWPU!$I:$I)</f>
        <v>0</v>
      </c>
      <c r="J57" s="9">
        <f t="shared" ca="1" si="1"/>
        <v>270</v>
      </c>
      <c r="K57" s="9">
        <f t="shared" ca="1" si="1"/>
        <v>0</v>
      </c>
      <c r="L57" s="9">
        <f t="shared" ca="1" si="1"/>
        <v>0</v>
      </c>
      <c r="M57" s="9">
        <f t="shared" ca="1" si="2"/>
        <v>270</v>
      </c>
      <c r="N57" s="16">
        <f t="shared" ca="1" si="3"/>
        <v>-20692.8</v>
      </c>
    </row>
    <row r="58" spans="1:14" x14ac:dyDescent="0.2">
      <c r="A58" s="9" t="s">
        <v>54</v>
      </c>
      <c r="B58" s="10">
        <v>2001</v>
      </c>
      <c r="C58" s="9">
        <f ca="1">SUMIF(AWPU!$B:$M,$B58,AWPU!$C:$C)</f>
        <v>353</v>
      </c>
      <c r="D58" s="9">
        <f ca="1">SUMIF(AWPU!$B:$M,$B58,AWPU!$D:$D)</f>
        <v>0</v>
      </c>
      <c r="E58" s="9">
        <f ca="1">SUMIF(AWPU!$B:$M,$B58,AWPU!$E:$E)</f>
        <v>0</v>
      </c>
      <c r="F58" s="9">
        <f t="shared" ca="1" si="0"/>
        <v>353</v>
      </c>
      <c r="G58" s="9">
        <f ca="1">SUMIF(AWPU!$B:$M,$B58,AWPU!$G:$G)</f>
        <v>0</v>
      </c>
      <c r="H58" s="9">
        <f ca="1">SUMIF(AWPU!$B:$M,$B58,AWPU!$H:$H)</f>
        <v>0</v>
      </c>
      <c r="I58" s="9">
        <f ca="1">SUMIF(AWPU!$B:$M,$B58,AWPU!$I:$I)</f>
        <v>0</v>
      </c>
      <c r="J58" s="9">
        <f t="shared" ca="1" si="1"/>
        <v>353</v>
      </c>
      <c r="K58" s="9">
        <f t="shared" ca="1" si="1"/>
        <v>0</v>
      </c>
      <c r="L58" s="9">
        <f t="shared" ca="1" si="1"/>
        <v>0</v>
      </c>
      <c r="M58" s="9">
        <f t="shared" ca="1" si="2"/>
        <v>353</v>
      </c>
      <c r="N58" s="16">
        <f t="shared" ca="1" si="3"/>
        <v>-27053.920000000002</v>
      </c>
    </row>
    <row r="59" spans="1:14" x14ac:dyDescent="0.2">
      <c r="A59" s="9" t="s">
        <v>55</v>
      </c>
      <c r="B59" s="10">
        <v>2429</v>
      </c>
      <c r="C59" s="9">
        <f ca="1">SUMIF(AWPU!$B:$M,$B59,AWPU!$C:$C)</f>
        <v>150</v>
      </c>
      <c r="D59" s="9">
        <f ca="1">SUMIF(AWPU!$B:$M,$B59,AWPU!$D:$D)</f>
        <v>0</v>
      </c>
      <c r="E59" s="9">
        <f ca="1">SUMIF(AWPU!$B:$M,$B59,AWPU!$E:$E)</f>
        <v>0</v>
      </c>
      <c r="F59" s="9">
        <f t="shared" ca="1" si="0"/>
        <v>150</v>
      </c>
      <c r="G59" s="9">
        <f ca="1">SUMIF(AWPU!$B:$M,$B59,AWPU!$G:$G)</f>
        <v>0</v>
      </c>
      <c r="H59" s="9">
        <f ca="1">SUMIF(AWPU!$B:$M,$B59,AWPU!$H:$H)</f>
        <v>0</v>
      </c>
      <c r="I59" s="9">
        <f ca="1">SUMIF(AWPU!$B:$M,$B59,AWPU!$I:$I)</f>
        <v>0</v>
      </c>
      <c r="J59" s="9">
        <f t="shared" ca="1" si="1"/>
        <v>150</v>
      </c>
      <c r="K59" s="9">
        <f t="shared" ca="1" si="1"/>
        <v>0</v>
      </c>
      <c r="L59" s="9">
        <f t="shared" ca="1" si="1"/>
        <v>0</v>
      </c>
      <c r="M59" s="9">
        <f t="shared" ca="1" si="2"/>
        <v>150</v>
      </c>
      <c r="N59" s="16">
        <f t="shared" ca="1" si="3"/>
        <v>-11496</v>
      </c>
    </row>
    <row r="60" spans="1:14" x14ac:dyDescent="0.2">
      <c r="A60" s="9" t="s">
        <v>56</v>
      </c>
      <c r="B60" s="10">
        <v>2444</v>
      </c>
      <c r="C60" s="9">
        <f ca="1">SUMIF(AWPU!$B:$M,$B60,AWPU!$C:$C)</f>
        <v>208</v>
      </c>
      <c r="D60" s="9">
        <f ca="1">SUMIF(AWPU!$B:$M,$B60,AWPU!$D:$D)</f>
        <v>0</v>
      </c>
      <c r="E60" s="9">
        <f ca="1">SUMIF(AWPU!$B:$M,$B60,AWPU!$E:$E)</f>
        <v>0</v>
      </c>
      <c r="F60" s="9">
        <f t="shared" ca="1" si="0"/>
        <v>208</v>
      </c>
      <c r="G60" s="9">
        <f ca="1">SUMIF(AWPU!$B:$M,$B60,AWPU!$G:$G)</f>
        <v>0</v>
      </c>
      <c r="H60" s="9">
        <f ca="1">SUMIF(AWPU!$B:$M,$B60,AWPU!$H:$H)</f>
        <v>0</v>
      </c>
      <c r="I60" s="9">
        <f ca="1">SUMIF(AWPU!$B:$M,$B60,AWPU!$I:$I)</f>
        <v>0</v>
      </c>
      <c r="J60" s="9">
        <f t="shared" ca="1" si="1"/>
        <v>208</v>
      </c>
      <c r="K60" s="9">
        <f t="shared" ca="1" si="1"/>
        <v>0</v>
      </c>
      <c r="L60" s="9">
        <f t="shared" ca="1" si="1"/>
        <v>0</v>
      </c>
      <c r="M60" s="9">
        <f t="shared" ca="1" si="2"/>
        <v>208</v>
      </c>
      <c r="N60" s="16">
        <f t="shared" ca="1" si="3"/>
        <v>-15941.12</v>
      </c>
    </row>
    <row r="61" spans="1:14" x14ac:dyDescent="0.2">
      <c r="A61" s="9" t="s">
        <v>57</v>
      </c>
      <c r="B61" s="10">
        <v>5209</v>
      </c>
      <c r="C61" s="9">
        <f ca="1">SUMIF(AWPU!$B:$M,$B61,AWPU!$C:$C)</f>
        <v>274</v>
      </c>
      <c r="D61" s="9">
        <f ca="1">SUMIF(AWPU!$B:$M,$B61,AWPU!$D:$D)</f>
        <v>0</v>
      </c>
      <c r="E61" s="9">
        <f ca="1">SUMIF(AWPU!$B:$M,$B61,AWPU!$E:$E)</f>
        <v>0</v>
      </c>
      <c r="F61" s="9">
        <f t="shared" ca="1" si="0"/>
        <v>274</v>
      </c>
      <c r="G61" s="9">
        <f ca="1">SUMIF(AWPU!$B:$M,$B61,AWPU!$G:$G)</f>
        <v>0</v>
      </c>
      <c r="H61" s="9">
        <f ca="1">SUMIF(AWPU!$B:$M,$B61,AWPU!$H:$H)</f>
        <v>0</v>
      </c>
      <c r="I61" s="9">
        <f ca="1">SUMIF(AWPU!$B:$M,$B61,AWPU!$I:$I)</f>
        <v>0</v>
      </c>
      <c r="J61" s="9">
        <f t="shared" ca="1" si="1"/>
        <v>274</v>
      </c>
      <c r="K61" s="9">
        <f t="shared" ca="1" si="1"/>
        <v>0</v>
      </c>
      <c r="L61" s="9">
        <f t="shared" ca="1" si="1"/>
        <v>0</v>
      </c>
      <c r="M61" s="9">
        <f t="shared" ca="1" si="2"/>
        <v>274</v>
      </c>
      <c r="N61" s="16">
        <f t="shared" ca="1" si="3"/>
        <v>-20999.360000000001</v>
      </c>
    </row>
    <row r="62" spans="1:14" x14ac:dyDescent="0.2">
      <c r="A62" s="9" t="s">
        <v>58</v>
      </c>
      <c r="B62" s="10">
        <v>2469</v>
      </c>
      <c r="C62" s="9">
        <f ca="1">SUMIF(AWPU!$B:$M,$B62,AWPU!$C:$C)</f>
        <v>411</v>
      </c>
      <c r="D62" s="9">
        <f ca="1">SUMIF(AWPU!$B:$M,$B62,AWPU!$D:$D)</f>
        <v>0</v>
      </c>
      <c r="E62" s="9">
        <f ca="1">SUMIF(AWPU!$B:$M,$B62,AWPU!$E:$E)</f>
        <v>0</v>
      </c>
      <c r="F62" s="9">
        <f t="shared" ca="1" si="0"/>
        <v>411</v>
      </c>
      <c r="G62" s="9">
        <f ca="1">SUMIF(AWPU!$B:$M,$B62,AWPU!$G:$G)</f>
        <v>0</v>
      </c>
      <c r="H62" s="9">
        <f ca="1">SUMIF(AWPU!$B:$M,$B62,AWPU!$H:$H)</f>
        <v>0</v>
      </c>
      <c r="I62" s="9">
        <f ca="1">SUMIF(AWPU!$B:$M,$B62,AWPU!$I:$I)</f>
        <v>0</v>
      </c>
      <c r="J62" s="9">
        <f t="shared" ca="1" si="1"/>
        <v>411</v>
      </c>
      <c r="K62" s="9">
        <f t="shared" ca="1" si="1"/>
        <v>0</v>
      </c>
      <c r="L62" s="9">
        <f t="shared" ca="1" si="1"/>
        <v>0</v>
      </c>
      <c r="M62" s="9">
        <f t="shared" ca="1" si="2"/>
        <v>411</v>
      </c>
      <c r="N62" s="16">
        <f t="shared" ca="1" si="3"/>
        <v>-31499.040000000001</v>
      </c>
    </row>
    <row r="63" spans="1:14" x14ac:dyDescent="0.2">
      <c r="A63" s="22" t="s">
        <v>451</v>
      </c>
      <c r="B63" s="10">
        <v>2430</v>
      </c>
      <c r="C63" s="9">
        <f ca="1">SUMIF(AWPU!$B:$M,$B63,AWPU!$C:$C)</f>
        <v>120</v>
      </c>
      <c r="D63" s="9">
        <f ca="1">SUMIF(AWPU!$B:$M,$B63,AWPU!$D:$D)</f>
        <v>0</v>
      </c>
      <c r="E63" s="9">
        <f ca="1">SUMIF(AWPU!$B:$M,$B63,AWPU!$E:$E)</f>
        <v>0</v>
      </c>
      <c r="F63" s="9">
        <f t="shared" ca="1" si="0"/>
        <v>120</v>
      </c>
      <c r="G63" s="9">
        <f ca="1">SUMIF(AWPU!$B:$M,$B63,AWPU!$G:$G)</f>
        <v>0</v>
      </c>
      <c r="H63" s="9">
        <f ca="1">SUMIF(AWPU!$B:$M,$B63,AWPU!$H:$H)</f>
        <v>0</v>
      </c>
      <c r="I63" s="9">
        <f ca="1">SUMIF(AWPU!$B:$M,$B63,AWPU!$I:$I)</f>
        <v>0</v>
      </c>
      <c r="J63" s="9">
        <f t="shared" ca="1" si="1"/>
        <v>120</v>
      </c>
      <c r="K63" s="9">
        <f t="shared" ca="1" si="1"/>
        <v>0</v>
      </c>
      <c r="L63" s="9">
        <f t="shared" ca="1" si="1"/>
        <v>0</v>
      </c>
      <c r="M63" s="9">
        <f t="shared" ca="1" si="2"/>
        <v>120</v>
      </c>
      <c r="N63" s="16">
        <f t="shared" ca="1" si="3"/>
        <v>-9196.7999999999993</v>
      </c>
    </row>
    <row r="64" spans="1:14" x14ac:dyDescent="0.2">
      <c r="A64" s="9" t="s">
        <v>59</v>
      </c>
      <c r="B64" s="10">
        <v>2466</v>
      </c>
      <c r="C64" s="9">
        <f ca="1">SUMIF(AWPU!$B:$M,$B64,AWPU!$C:$C)</f>
        <v>205</v>
      </c>
      <c r="D64" s="9">
        <f ca="1">SUMIF(AWPU!$B:$M,$B64,AWPU!$D:$D)</f>
        <v>0</v>
      </c>
      <c r="E64" s="9">
        <f ca="1">SUMIF(AWPU!$B:$M,$B64,AWPU!$E:$E)</f>
        <v>0</v>
      </c>
      <c r="F64" s="9">
        <f t="shared" ca="1" si="0"/>
        <v>205</v>
      </c>
      <c r="G64" s="9">
        <f ca="1">SUMIF(AWPU!$B:$M,$B64,AWPU!$G:$G)</f>
        <v>8</v>
      </c>
      <c r="H64" s="9">
        <f ca="1">SUMIF(AWPU!$B:$M,$B64,AWPU!$H:$H)</f>
        <v>0</v>
      </c>
      <c r="I64" s="9">
        <f ca="1">SUMIF(AWPU!$B:$M,$B64,AWPU!$I:$I)</f>
        <v>0</v>
      </c>
      <c r="J64" s="9">
        <f t="shared" ca="1" si="1"/>
        <v>197</v>
      </c>
      <c r="K64" s="9">
        <f t="shared" ca="1" si="1"/>
        <v>0</v>
      </c>
      <c r="L64" s="9">
        <f t="shared" ca="1" si="1"/>
        <v>0</v>
      </c>
      <c r="M64" s="9">
        <f t="shared" ca="1" si="2"/>
        <v>197</v>
      </c>
      <c r="N64" s="16">
        <f t="shared" ca="1" si="3"/>
        <v>-15098.08</v>
      </c>
    </row>
    <row r="65" spans="1:15" x14ac:dyDescent="0.2">
      <c r="A65" s="9" t="s">
        <v>60</v>
      </c>
      <c r="B65" s="10">
        <v>3543</v>
      </c>
      <c r="C65" s="9">
        <f ca="1">SUMIF(AWPU!$B:$M,$B65,AWPU!$C:$C)</f>
        <v>301</v>
      </c>
      <c r="D65" s="9">
        <f ca="1">SUMIF(AWPU!$B:$M,$B65,AWPU!$D:$D)</f>
        <v>0</v>
      </c>
      <c r="E65" s="9">
        <f ca="1">SUMIF(AWPU!$B:$M,$B65,AWPU!$E:$E)</f>
        <v>0</v>
      </c>
      <c r="F65" s="9">
        <f t="shared" ca="1" si="0"/>
        <v>301</v>
      </c>
      <c r="G65" s="9">
        <f ca="1">SUMIF(AWPU!$B:$M,$B65,AWPU!$G:$G)</f>
        <v>0</v>
      </c>
      <c r="H65" s="9">
        <f ca="1">SUMIF(AWPU!$B:$M,$B65,AWPU!$H:$H)</f>
        <v>0</v>
      </c>
      <c r="I65" s="9">
        <f ca="1">SUMIF(AWPU!$B:$M,$B65,AWPU!$I:$I)</f>
        <v>0</v>
      </c>
      <c r="J65" s="9">
        <f t="shared" ca="1" si="1"/>
        <v>301</v>
      </c>
      <c r="K65" s="9">
        <f t="shared" ca="1" si="1"/>
        <v>0</v>
      </c>
      <c r="L65" s="9">
        <f t="shared" ca="1" si="1"/>
        <v>0</v>
      </c>
      <c r="M65" s="9">
        <f t="shared" ca="1" si="2"/>
        <v>301</v>
      </c>
      <c r="N65" s="16">
        <f t="shared" ca="1" si="3"/>
        <v>-23068.639999999999</v>
      </c>
    </row>
    <row r="66" spans="1:15" s="33" customFormat="1" x14ac:dyDescent="0.2">
      <c r="A66" s="805" t="s">
        <v>62</v>
      </c>
      <c r="B66" s="27">
        <v>3531</v>
      </c>
      <c r="C66" s="805"/>
      <c r="D66" s="805"/>
      <c r="E66" s="805"/>
      <c r="F66" s="805"/>
      <c r="G66" s="805"/>
      <c r="H66" s="805"/>
      <c r="I66" s="805"/>
      <c r="J66" s="805"/>
      <c r="K66" s="805"/>
      <c r="L66" s="805"/>
      <c r="M66" s="805"/>
      <c r="N66" s="807"/>
      <c r="O66" s="33" t="s">
        <v>555</v>
      </c>
    </row>
    <row r="67" spans="1:15" x14ac:dyDescent="0.2">
      <c r="A67" s="9" t="s">
        <v>103</v>
      </c>
      <c r="B67" s="10">
        <v>3526</v>
      </c>
      <c r="C67" s="9">
        <f ca="1">SUMIF(AWPU!$B:$M,$B67,AWPU!$C:$C)</f>
        <v>85</v>
      </c>
      <c r="D67" s="9">
        <f ca="1">SUMIF(AWPU!$B:$M,$B67,AWPU!$D:$D)</f>
        <v>0</v>
      </c>
      <c r="E67" s="9">
        <f ca="1">SUMIF(AWPU!$B:$M,$B67,AWPU!$E:$E)</f>
        <v>0</v>
      </c>
      <c r="F67" s="9">
        <f t="shared" ca="1" si="0"/>
        <v>85</v>
      </c>
      <c r="G67" s="9">
        <f ca="1">SUMIF(AWPU!$B:$M,$B67,AWPU!$G:$G)</f>
        <v>0</v>
      </c>
      <c r="H67" s="9">
        <f ca="1">SUMIF(AWPU!$B:$M,$B67,AWPU!$H:$H)</f>
        <v>0</v>
      </c>
      <c r="I67" s="9">
        <f ca="1">SUMIF(AWPU!$B:$M,$B67,AWPU!$I:$I)</f>
        <v>0</v>
      </c>
      <c r="J67" s="9">
        <f t="shared" ca="1" si="1"/>
        <v>85</v>
      </c>
      <c r="K67" s="9">
        <f t="shared" ca="1" si="1"/>
        <v>0</v>
      </c>
      <c r="L67" s="9">
        <f t="shared" ca="1" si="1"/>
        <v>0</v>
      </c>
      <c r="M67" s="9">
        <f t="shared" ca="1" si="2"/>
        <v>85</v>
      </c>
      <c r="N67" s="16">
        <f t="shared" ca="1" si="3"/>
        <v>-6514.4</v>
      </c>
    </row>
    <row r="68" spans="1:15" x14ac:dyDescent="0.2">
      <c r="A68" s="9" t="s">
        <v>104</v>
      </c>
      <c r="B68" s="10">
        <v>3535</v>
      </c>
      <c r="C68" s="9">
        <f ca="1">SUMIF(AWPU!$B:$M,$B68,AWPU!$C:$C)</f>
        <v>297</v>
      </c>
      <c r="D68" s="9">
        <f ca="1">SUMIF(AWPU!$B:$M,$B68,AWPU!$D:$D)</f>
        <v>0</v>
      </c>
      <c r="E68" s="9">
        <f ca="1">SUMIF(AWPU!$B:$M,$B68,AWPU!$E:$E)</f>
        <v>0</v>
      </c>
      <c r="F68" s="9">
        <f t="shared" ca="1" si="0"/>
        <v>297</v>
      </c>
      <c r="G68" s="9">
        <f ca="1">SUMIF(AWPU!$B:$M,$B68,AWPU!$G:$G)</f>
        <v>0</v>
      </c>
      <c r="H68" s="9">
        <f ca="1">SUMIF(AWPU!$B:$M,$B68,AWPU!$H:$H)</f>
        <v>0</v>
      </c>
      <c r="I68" s="9">
        <f ca="1">SUMIF(AWPU!$B:$M,$B68,AWPU!$I:$I)</f>
        <v>0</v>
      </c>
      <c r="J68" s="9">
        <f t="shared" ca="1" si="1"/>
        <v>297</v>
      </c>
      <c r="K68" s="9">
        <f t="shared" ca="1" si="1"/>
        <v>0</v>
      </c>
      <c r="L68" s="9">
        <f t="shared" ca="1" si="1"/>
        <v>0</v>
      </c>
      <c r="M68" s="9">
        <f t="shared" ca="1" si="2"/>
        <v>297</v>
      </c>
      <c r="N68" s="16">
        <f t="shared" ca="1" si="3"/>
        <v>-22762.080000000002</v>
      </c>
    </row>
    <row r="69" spans="1:15" s="33" customFormat="1" x14ac:dyDescent="0.2">
      <c r="A69" s="810" t="s">
        <v>64</v>
      </c>
      <c r="B69" s="27">
        <v>2008</v>
      </c>
      <c r="C69" s="805"/>
      <c r="D69" s="805"/>
      <c r="E69" s="805"/>
      <c r="F69" s="805"/>
      <c r="G69" s="805"/>
      <c r="H69" s="805"/>
      <c r="I69" s="805"/>
      <c r="J69" s="805"/>
      <c r="K69" s="805"/>
      <c r="L69" s="805"/>
      <c r="M69" s="805"/>
      <c r="N69" s="807"/>
      <c r="O69" s="33" t="s">
        <v>555</v>
      </c>
    </row>
    <row r="70" spans="1:15" x14ac:dyDescent="0.2">
      <c r="A70" s="9" t="s">
        <v>105</v>
      </c>
      <c r="B70" s="10">
        <v>3542</v>
      </c>
      <c r="C70" s="9">
        <f ca="1">SUMIF(AWPU!$B:$M,$B70,AWPU!$C:$C)</f>
        <v>351</v>
      </c>
      <c r="D70" s="9">
        <f ca="1">SUMIF(AWPU!$B:$M,$B70,AWPU!$D:$D)</f>
        <v>0</v>
      </c>
      <c r="E70" s="9">
        <f ca="1">SUMIF(AWPU!$B:$M,$B70,AWPU!$E:$E)</f>
        <v>0</v>
      </c>
      <c r="F70" s="9">
        <f t="shared" ca="1" si="0"/>
        <v>351</v>
      </c>
      <c r="G70" s="9">
        <f ca="1">SUMIF(AWPU!$B:$M,$B70,AWPU!$G:$G)</f>
        <v>0</v>
      </c>
      <c r="H70" s="9">
        <f ca="1">SUMIF(AWPU!$B:$M,$B70,AWPU!$H:$H)</f>
        <v>0</v>
      </c>
      <c r="I70" s="9">
        <f ca="1">SUMIF(AWPU!$B:$M,$B70,AWPU!$I:$I)</f>
        <v>0</v>
      </c>
      <c r="J70" s="9">
        <f t="shared" ca="1" si="1"/>
        <v>351</v>
      </c>
      <c r="K70" s="9">
        <f t="shared" ca="1" si="1"/>
        <v>0</v>
      </c>
      <c r="L70" s="9">
        <f t="shared" ca="1" si="1"/>
        <v>0</v>
      </c>
      <c r="M70" s="9">
        <f t="shared" ca="1" si="2"/>
        <v>351</v>
      </c>
      <c r="N70" s="16">
        <f t="shared" ca="1" si="3"/>
        <v>-26900.639999999999</v>
      </c>
    </row>
    <row r="71" spans="1:15" x14ac:dyDescent="0.2">
      <c r="A71" s="9" t="s">
        <v>106</v>
      </c>
      <c r="B71" s="10">
        <v>3528</v>
      </c>
      <c r="C71" s="9">
        <f ca="1">SUMIF(AWPU!$B:$M,$B71,AWPU!$C:$C)</f>
        <v>347</v>
      </c>
      <c r="D71" s="9">
        <f ca="1">SUMIF(AWPU!$B:$M,$B71,AWPU!$D:$D)</f>
        <v>0</v>
      </c>
      <c r="E71" s="9">
        <f ca="1">SUMIF(AWPU!$B:$M,$B71,AWPU!$E:$E)</f>
        <v>0</v>
      </c>
      <c r="F71" s="9">
        <f t="shared" ref="F71:F76" ca="1" si="4">SUM(C71:E71)</f>
        <v>347</v>
      </c>
      <c r="G71" s="9">
        <f ca="1">SUMIF(AWPU!$B:$M,$B71,AWPU!$G:$G)</f>
        <v>0</v>
      </c>
      <c r="H71" s="9">
        <f ca="1">SUMIF(AWPU!$B:$M,$B71,AWPU!$H:$H)</f>
        <v>0</v>
      </c>
      <c r="I71" s="9">
        <f ca="1">SUMIF(AWPU!$B:$M,$B71,AWPU!$I:$I)</f>
        <v>0</v>
      </c>
      <c r="J71" s="9">
        <f t="shared" ca="1" si="1"/>
        <v>347</v>
      </c>
      <c r="K71" s="9">
        <f t="shared" ca="1" si="1"/>
        <v>0</v>
      </c>
      <c r="L71" s="9">
        <f t="shared" ca="1" si="1"/>
        <v>0</v>
      </c>
      <c r="M71" s="9">
        <f t="shared" ca="1" si="2"/>
        <v>347</v>
      </c>
      <c r="N71" s="16">
        <f t="shared" ref="N71:N76" ca="1" si="5">SUM(J71*$J$1)+SUM(K71*$K$3)+SUM(L71*$L$4)</f>
        <v>-26594.080000000002</v>
      </c>
    </row>
    <row r="72" spans="1:15" x14ac:dyDescent="0.2">
      <c r="A72" s="9" t="s">
        <v>107</v>
      </c>
      <c r="B72" s="10">
        <v>3534</v>
      </c>
      <c r="C72" s="9">
        <f ca="1">SUMIF(AWPU!$B:$M,$B72,AWPU!$C:$C)</f>
        <v>244</v>
      </c>
      <c r="D72" s="9">
        <f ca="1">SUMIF(AWPU!$B:$M,$B72,AWPU!$D:$D)</f>
        <v>0</v>
      </c>
      <c r="E72" s="9">
        <f ca="1">SUMIF(AWPU!$B:$M,$B72,AWPU!$E:$E)</f>
        <v>0</v>
      </c>
      <c r="F72" s="9">
        <f t="shared" ca="1" si="4"/>
        <v>244</v>
      </c>
      <c r="G72" s="9">
        <f ca="1">SUMIF(AWPU!$B:$M,$B72,AWPU!$G:$G)</f>
        <v>0</v>
      </c>
      <c r="H72" s="9">
        <f ca="1">SUMIF(AWPU!$B:$M,$B72,AWPU!$H:$H)</f>
        <v>0</v>
      </c>
      <c r="I72" s="9">
        <f ca="1">SUMIF(AWPU!$B:$M,$B72,AWPU!$I:$I)</f>
        <v>0</v>
      </c>
      <c r="J72" s="9">
        <f t="shared" ref="J72:L76" ca="1" si="6">C72-G72</f>
        <v>244</v>
      </c>
      <c r="K72" s="9">
        <f t="shared" ca="1" si="6"/>
        <v>0</v>
      </c>
      <c r="L72" s="9">
        <f t="shared" ca="1" si="6"/>
        <v>0</v>
      </c>
      <c r="M72" s="9">
        <f t="shared" ref="M72:M76" ca="1" si="7">SUM(J72:L72)</f>
        <v>244</v>
      </c>
      <c r="N72" s="16">
        <f t="shared" ca="1" si="5"/>
        <v>-18700.16</v>
      </c>
    </row>
    <row r="73" spans="1:15" x14ac:dyDescent="0.2">
      <c r="A73" s="9" t="s">
        <v>108</v>
      </c>
      <c r="B73" s="10">
        <v>3532</v>
      </c>
      <c r="C73" s="9">
        <f ca="1">SUMIF(AWPU!$B:$M,$B73,AWPU!$C:$C)</f>
        <v>310</v>
      </c>
      <c r="D73" s="9">
        <f ca="1">SUMIF(AWPU!$B:$M,$B73,AWPU!$D:$D)</f>
        <v>0</v>
      </c>
      <c r="E73" s="9">
        <f ca="1">SUMIF(AWPU!$B:$M,$B73,AWPU!$E:$E)</f>
        <v>0</v>
      </c>
      <c r="F73" s="9">
        <f t="shared" ca="1" si="4"/>
        <v>310</v>
      </c>
      <c r="G73" s="9">
        <f ca="1">SUMIF(AWPU!$B:$M,$B73,AWPU!$G:$G)</f>
        <v>0</v>
      </c>
      <c r="H73" s="9">
        <f ca="1">SUMIF(AWPU!$B:$M,$B73,AWPU!$H:$H)</f>
        <v>0</v>
      </c>
      <c r="I73" s="9">
        <f ca="1">SUMIF(AWPU!$B:$M,$B73,AWPU!$I:$I)</f>
        <v>0</v>
      </c>
      <c r="J73" s="9">
        <f t="shared" ca="1" si="6"/>
        <v>310</v>
      </c>
      <c r="K73" s="9">
        <f t="shared" ca="1" si="6"/>
        <v>0</v>
      </c>
      <c r="L73" s="9">
        <f t="shared" ca="1" si="6"/>
        <v>0</v>
      </c>
      <c r="M73" s="9">
        <f t="shared" ca="1" si="7"/>
        <v>310</v>
      </c>
      <c r="N73" s="16">
        <f t="shared" ca="1" si="5"/>
        <v>-23758.400000000001</v>
      </c>
    </row>
    <row r="74" spans="1:15" x14ac:dyDescent="0.2">
      <c r="A74" s="9" t="s">
        <v>65</v>
      </c>
      <c r="B74" s="10">
        <v>3546</v>
      </c>
      <c r="C74" s="9">
        <f ca="1">SUMIF(AWPU!$B:$M,$B74,AWPU!$C:$C)</f>
        <v>546</v>
      </c>
      <c r="D74" s="9">
        <f ca="1">SUMIF(AWPU!$B:$M,$B74,AWPU!$D:$D)</f>
        <v>0</v>
      </c>
      <c r="E74" s="9">
        <f ca="1">SUMIF(AWPU!$B:$M,$B74,AWPU!$E:$E)</f>
        <v>0</v>
      </c>
      <c r="F74" s="9">
        <f t="shared" ca="1" si="4"/>
        <v>546</v>
      </c>
      <c r="G74" s="9">
        <f ca="1">SUMIF(AWPU!$B:$M,$B74,AWPU!$G:$G)</f>
        <v>0</v>
      </c>
      <c r="H74" s="9">
        <f ca="1">SUMIF(AWPU!$B:$M,$B74,AWPU!$H:$H)</f>
        <v>0</v>
      </c>
      <c r="I74" s="9">
        <f ca="1">SUMIF(AWPU!$B:$M,$B74,AWPU!$I:$I)</f>
        <v>0</v>
      </c>
      <c r="J74" s="9">
        <f t="shared" ca="1" si="6"/>
        <v>546</v>
      </c>
      <c r="K74" s="9">
        <f t="shared" ca="1" si="6"/>
        <v>0</v>
      </c>
      <c r="L74" s="9">
        <f t="shared" ca="1" si="6"/>
        <v>0</v>
      </c>
      <c r="M74" s="9">
        <f t="shared" ca="1" si="7"/>
        <v>546</v>
      </c>
      <c r="N74" s="16">
        <f t="shared" ca="1" si="5"/>
        <v>-41845.440000000002</v>
      </c>
    </row>
    <row r="75" spans="1:15" x14ac:dyDescent="0.2">
      <c r="A75" s="9" t="s">
        <v>109</v>
      </c>
      <c r="B75" s="10">
        <v>3530</v>
      </c>
      <c r="C75" s="9">
        <f ca="1">SUMIF(AWPU!$B:$M,$B75,AWPU!$C:$C)</f>
        <v>317</v>
      </c>
      <c r="D75" s="9">
        <f ca="1">SUMIF(AWPU!$B:$M,$B75,AWPU!$D:$D)</f>
        <v>0</v>
      </c>
      <c r="E75" s="9">
        <f ca="1">SUMIF(AWPU!$B:$M,$B75,AWPU!$E:$E)</f>
        <v>0</v>
      </c>
      <c r="F75" s="9">
        <f t="shared" ca="1" si="4"/>
        <v>317</v>
      </c>
      <c r="G75" s="9">
        <f ca="1">SUMIF(AWPU!$B:$M,$B75,AWPU!$G:$G)</f>
        <v>0</v>
      </c>
      <c r="H75" s="9">
        <f ca="1">SUMIF(AWPU!$B:$M,$B75,AWPU!$H:$H)</f>
        <v>0</v>
      </c>
      <c r="I75" s="9">
        <f ca="1">SUMIF(AWPU!$B:$M,$B75,AWPU!$I:$I)</f>
        <v>0</v>
      </c>
      <c r="J75" s="9">
        <f t="shared" ca="1" si="6"/>
        <v>317</v>
      </c>
      <c r="K75" s="9">
        <f t="shared" ca="1" si="6"/>
        <v>0</v>
      </c>
      <c r="L75" s="9">
        <f t="shared" ca="1" si="6"/>
        <v>0</v>
      </c>
      <c r="M75" s="9">
        <f t="shared" ca="1" si="7"/>
        <v>317</v>
      </c>
      <c r="N75" s="16">
        <f t="shared" ca="1" si="5"/>
        <v>-24294.880000000001</v>
      </c>
    </row>
    <row r="76" spans="1:15" x14ac:dyDescent="0.2">
      <c r="A76" s="9" t="s">
        <v>67</v>
      </c>
      <c r="B76" s="10">
        <v>2459</v>
      </c>
      <c r="C76" s="9">
        <f ca="1">SUMIF(AWPU!$B:$M,$B76,AWPU!$C:$C)</f>
        <v>390</v>
      </c>
      <c r="D76" s="9">
        <f ca="1">SUMIF(AWPU!$B:$M,$B76,AWPU!$D:$D)</f>
        <v>0</v>
      </c>
      <c r="E76" s="9">
        <f ca="1">SUMIF(AWPU!$B:$M,$B76,AWPU!$E:$E)</f>
        <v>0</v>
      </c>
      <c r="F76" s="9">
        <f t="shared" ca="1" si="4"/>
        <v>390</v>
      </c>
      <c r="G76" s="9">
        <f ca="1">SUMIF(AWPU!$B:$M,$B76,AWPU!$G:$G)</f>
        <v>0</v>
      </c>
      <c r="H76" s="9">
        <f ca="1">SUMIF(AWPU!$B:$M,$B76,AWPU!$H:$H)</f>
        <v>0</v>
      </c>
      <c r="I76" s="9">
        <f ca="1">SUMIF(AWPU!$B:$M,$B76,AWPU!$I:$I)</f>
        <v>0</v>
      </c>
      <c r="J76" s="9">
        <f t="shared" ca="1" si="6"/>
        <v>390</v>
      </c>
      <c r="K76" s="9">
        <f t="shared" ca="1" si="6"/>
        <v>0</v>
      </c>
      <c r="L76" s="9">
        <f t="shared" ca="1" si="6"/>
        <v>0</v>
      </c>
      <c r="M76" s="9">
        <f t="shared" ca="1" si="7"/>
        <v>390</v>
      </c>
      <c r="N76" s="16">
        <f t="shared" ca="1" si="5"/>
        <v>-29889.599999999999</v>
      </c>
    </row>
    <row r="77" spans="1:15" s="33" customFormat="1" x14ac:dyDescent="0.2">
      <c r="A77" s="805" t="s">
        <v>912</v>
      </c>
      <c r="B77" s="27">
        <v>4000</v>
      </c>
      <c r="C77" s="805"/>
      <c r="D77" s="805"/>
      <c r="E77" s="805"/>
      <c r="F77" s="805"/>
      <c r="G77" s="805"/>
      <c r="H77" s="805"/>
      <c r="I77" s="805"/>
      <c r="J77" s="805"/>
      <c r="K77" s="805"/>
      <c r="L77" s="805"/>
      <c r="M77" s="805"/>
      <c r="N77" s="807"/>
      <c r="O77" s="33" t="s">
        <v>1269</v>
      </c>
    </row>
    <row r="78" spans="1:15" x14ac:dyDescent="0.2">
      <c r="A78" s="9"/>
      <c r="B78" s="10"/>
      <c r="C78" s="9"/>
      <c r="D78" s="9"/>
      <c r="E78" s="9"/>
      <c r="F78" s="9"/>
      <c r="G78" s="9"/>
      <c r="H78" s="9"/>
      <c r="I78" s="9"/>
      <c r="J78" s="9"/>
      <c r="K78" s="9"/>
      <c r="L78" s="9"/>
      <c r="M78" s="9"/>
      <c r="N78" s="16"/>
    </row>
    <row r="79" spans="1:15" x14ac:dyDescent="0.2">
      <c r="A79" s="1" t="s">
        <v>110</v>
      </c>
      <c r="B79" s="1" t="s">
        <v>110</v>
      </c>
      <c r="C79" s="1">
        <f ca="1">SUM(C7:C78)</f>
        <v>19852</v>
      </c>
      <c r="D79" s="1">
        <f ca="1">SUM(D7:D78)</f>
        <v>0</v>
      </c>
      <c r="E79" s="1">
        <f ca="1">SUM(E7:E78)</f>
        <v>0</v>
      </c>
      <c r="F79" s="1">
        <f ca="1">SUM(F7:F78)</f>
        <v>19852</v>
      </c>
      <c r="G79" s="1">
        <v>127</v>
      </c>
      <c r="H79" s="1">
        <v>0</v>
      </c>
      <c r="I79" s="1">
        <v>0</v>
      </c>
      <c r="J79" s="1">
        <f ca="1">SUM(J7:J78)</f>
        <v>19712</v>
      </c>
      <c r="K79" s="1">
        <f ca="1">SUM(K7:K78)</f>
        <v>0</v>
      </c>
      <c r="L79" s="1">
        <f ca="1">SUM(L7:L78)</f>
        <v>0</v>
      </c>
      <c r="M79" s="1">
        <f ca="1">SUM(M7:M78)</f>
        <v>19712</v>
      </c>
      <c r="N79" s="1">
        <f ca="1">SUM(N7:N78)</f>
        <v>-1510727.6799999999</v>
      </c>
    </row>
    <row r="80" spans="1:15" x14ac:dyDescent="0.2">
      <c r="A80" s="9"/>
      <c r="B80" s="10"/>
      <c r="C80" s="9"/>
      <c r="D80" s="9"/>
      <c r="E80" s="9"/>
      <c r="F80" s="9"/>
      <c r="G80" s="9"/>
      <c r="H80" s="9"/>
      <c r="I80" s="9"/>
      <c r="J80" s="9"/>
      <c r="K80" s="9"/>
      <c r="L80" s="9"/>
      <c r="M80" s="9"/>
      <c r="N80" s="16"/>
    </row>
    <row r="81" spans="1:15" s="33" customFormat="1" x14ac:dyDescent="0.2">
      <c r="A81" s="805" t="s">
        <v>75</v>
      </c>
      <c r="B81" s="27">
        <v>5402</v>
      </c>
      <c r="C81" s="805"/>
      <c r="D81" s="805"/>
      <c r="E81" s="805"/>
      <c r="F81" s="805"/>
      <c r="G81" s="805"/>
      <c r="H81" s="805"/>
      <c r="I81" s="805"/>
      <c r="J81" s="805"/>
      <c r="K81" s="805"/>
      <c r="L81" s="805"/>
      <c r="M81" s="805"/>
      <c r="N81" s="807"/>
      <c r="O81" s="33" t="s">
        <v>555</v>
      </c>
    </row>
    <row r="82" spans="1:15" x14ac:dyDescent="0.2">
      <c r="A82" s="9" t="s">
        <v>68</v>
      </c>
      <c r="B82" s="10">
        <v>4608</v>
      </c>
      <c r="C82" s="9">
        <f ca="1">SUMIF(AWPU!$B:$M,$B82,AWPU!$C:$C)</f>
        <v>0</v>
      </c>
      <c r="D82" s="9">
        <f ca="1">SUMIF(AWPU!$B:$M,$B82,AWPU!$D:$D)</f>
        <v>319</v>
      </c>
      <c r="E82" s="9">
        <f ca="1">SUMIF(AWPU!$B:$M,$B82,AWPU!$E:$E)</f>
        <v>235</v>
      </c>
      <c r="F82" s="9">
        <f t="shared" ref="F82:F88" ca="1" si="8">SUM(C82:E82)</f>
        <v>554</v>
      </c>
      <c r="G82" s="9">
        <f ca="1">SUMIF(AWPU!$B:$M,$B82,AWPU!$G:$G)</f>
        <v>0</v>
      </c>
      <c r="H82" s="9">
        <f ca="1">SUMIF(AWPU!$B:$M,$B82,AWPU!$H:$H)</f>
        <v>0</v>
      </c>
      <c r="I82" s="9">
        <f ca="1">SUMIF(AWPU!$B:$M,$B82,AWPU!$I:$I)</f>
        <v>0</v>
      </c>
      <c r="J82" s="9">
        <f t="shared" ref="J82:L88" ca="1" si="9">C82-G82</f>
        <v>0</v>
      </c>
      <c r="K82" s="9">
        <f t="shared" ca="1" si="9"/>
        <v>319</v>
      </c>
      <c r="L82" s="9">
        <f t="shared" ca="1" si="9"/>
        <v>235</v>
      </c>
      <c r="M82" s="9">
        <f t="shared" ref="M82:M88" ca="1" si="10">SUM(J82:L82)</f>
        <v>554</v>
      </c>
      <c r="N82" s="16">
        <f ca="1">SUM(J82*$J$1)+SUM(K82*$K$3)+SUM(L82*$L$4)</f>
        <v>-40104.06</v>
      </c>
    </row>
    <row r="83" spans="1:15" x14ac:dyDescent="0.2">
      <c r="A83" s="9" t="s">
        <v>111</v>
      </c>
      <c r="B83" s="10">
        <v>4178</v>
      </c>
      <c r="C83" s="9">
        <f ca="1">SUMIF(AWPU!$B:$M,$B83,AWPU!$C:$C)</f>
        <v>0</v>
      </c>
      <c r="D83" s="9">
        <f ca="1">SUMIF(AWPU!$B:$M,$B83,AWPU!$D:$D)</f>
        <v>787</v>
      </c>
      <c r="E83" s="9">
        <f ca="1">SUMIF(AWPU!$B:$M,$B83,AWPU!$E:$E)</f>
        <v>521</v>
      </c>
      <c r="F83" s="9">
        <f t="shared" ca="1" si="8"/>
        <v>1308</v>
      </c>
      <c r="G83" s="9">
        <f ca="1">SUMIF(AWPU!$B:$M,$B83,AWPU!$G:$G)</f>
        <v>0</v>
      </c>
      <c r="H83" s="9">
        <f ca="1">SUMIF(AWPU!$B:$M,$B83,AWPU!$H:$H)</f>
        <v>0</v>
      </c>
      <c r="I83" s="9">
        <f ca="1">SUMIF(AWPU!$B:$M,$B83,AWPU!$I:$I)</f>
        <v>0</v>
      </c>
      <c r="J83" s="9">
        <f t="shared" ca="1" si="9"/>
        <v>0</v>
      </c>
      <c r="K83" s="9">
        <f t="shared" ca="1" si="9"/>
        <v>787</v>
      </c>
      <c r="L83" s="9">
        <f t="shared" ca="1" si="9"/>
        <v>521</v>
      </c>
      <c r="M83" s="9">
        <f t="shared" ca="1" si="10"/>
        <v>1308</v>
      </c>
      <c r="N83" s="16">
        <f ca="1">SUM(J83*$J$1)+SUM(K83*$K$3)+SUM(L83*$L$4)</f>
        <v>-94686.12</v>
      </c>
    </row>
    <row r="84" spans="1:15" s="33" customFormat="1" x14ac:dyDescent="0.2">
      <c r="A84" s="805" t="s">
        <v>69</v>
      </c>
      <c r="B84" s="27">
        <v>4181</v>
      </c>
      <c r="C84" s="805"/>
      <c r="D84" s="805"/>
      <c r="E84" s="805"/>
      <c r="F84" s="805"/>
      <c r="G84" s="805"/>
      <c r="H84" s="805"/>
      <c r="I84" s="805"/>
      <c r="J84" s="805"/>
      <c r="K84" s="805"/>
      <c r="L84" s="805"/>
      <c r="M84" s="805"/>
      <c r="N84" s="807"/>
      <c r="O84" s="33" t="s">
        <v>555</v>
      </c>
    </row>
    <row r="85" spans="1:15" x14ac:dyDescent="0.2">
      <c r="A85" s="9" t="s">
        <v>70</v>
      </c>
      <c r="B85" s="10">
        <v>4182</v>
      </c>
      <c r="C85" s="9">
        <f ca="1">SUMIF(AWPU!$B:$M,$B85,AWPU!$C:$C)</f>
        <v>0</v>
      </c>
      <c r="D85" s="9">
        <f ca="1">SUMIF(AWPU!$B:$M,$B85,AWPU!$D:$D)</f>
        <v>875</v>
      </c>
      <c r="E85" s="9">
        <f ca="1">SUMIF(AWPU!$B:$M,$B85,AWPU!$E:$E)</f>
        <v>523</v>
      </c>
      <c r="F85" s="9">
        <f t="shared" ca="1" si="8"/>
        <v>1398</v>
      </c>
      <c r="G85" s="9">
        <f ca="1">SUMIF(AWPU!$B:$M,$B85,AWPU!$G:$G)</f>
        <v>0</v>
      </c>
      <c r="H85" s="9">
        <f ca="1">SUMIF(AWPU!$B:$M,$B85,AWPU!$H:$H)</f>
        <v>0</v>
      </c>
      <c r="I85" s="9">
        <f ca="1">SUMIF(AWPU!$B:$M,$B85,AWPU!$I:$I)</f>
        <v>0</v>
      </c>
      <c r="J85" s="9">
        <f t="shared" ca="1" si="9"/>
        <v>0</v>
      </c>
      <c r="K85" s="9">
        <f t="shared" ca="1" si="9"/>
        <v>875</v>
      </c>
      <c r="L85" s="9">
        <f t="shared" ca="1" si="9"/>
        <v>523</v>
      </c>
      <c r="M85" s="9">
        <f t="shared" ca="1" si="10"/>
        <v>1398</v>
      </c>
      <c r="N85" s="16">
        <f t="shared" ref="N85:N88" ca="1" si="11">SUM(J85*$J$1)+SUM(K85*$K$3)+SUM(L85*$L$4)</f>
        <v>-101201.22</v>
      </c>
    </row>
    <row r="86" spans="1:15" s="33" customFormat="1" x14ac:dyDescent="0.2">
      <c r="A86" s="805" t="s">
        <v>71</v>
      </c>
      <c r="B86" s="28">
        <v>4001</v>
      </c>
      <c r="C86" s="805"/>
      <c r="D86" s="805"/>
      <c r="E86" s="805"/>
      <c r="F86" s="805"/>
      <c r="G86" s="805"/>
      <c r="H86" s="805"/>
      <c r="I86" s="805"/>
      <c r="J86" s="805"/>
      <c r="K86" s="805"/>
      <c r="L86" s="805"/>
      <c r="M86" s="805"/>
      <c r="N86" s="807"/>
      <c r="O86" s="33" t="s">
        <v>555</v>
      </c>
    </row>
    <row r="87" spans="1:15" x14ac:dyDescent="0.2">
      <c r="A87" s="9" t="s">
        <v>112</v>
      </c>
      <c r="B87" s="10">
        <v>5406</v>
      </c>
      <c r="C87" s="9">
        <f ca="1">SUMIF(AWPU!$B:$M,$B87,AWPU!$C:$C)</f>
        <v>0</v>
      </c>
      <c r="D87" s="9">
        <f ca="1">SUMIF(AWPU!$B:$M,$B87,AWPU!$D:$D)</f>
        <v>479</v>
      </c>
      <c r="E87" s="9">
        <f ca="1">SUMIF(AWPU!$B:$M,$B87,AWPU!$E:$E)</f>
        <v>376</v>
      </c>
      <c r="F87" s="9">
        <f t="shared" ca="1" si="8"/>
        <v>855</v>
      </c>
      <c r="G87" s="9">
        <f ca="1">SUMIF(AWPU!$B:$M,$B87,AWPU!$G:$G)</f>
        <v>0</v>
      </c>
      <c r="H87" s="9">
        <f ca="1">SUMIF(AWPU!$B:$M,$B87,AWPU!$H:$H)</f>
        <v>0</v>
      </c>
      <c r="I87" s="9">
        <f ca="1">SUMIF(AWPU!$B:$M,$B87,AWPU!$I:$I)</f>
        <v>0</v>
      </c>
      <c r="J87" s="9">
        <f t="shared" ca="1" si="9"/>
        <v>0</v>
      </c>
      <c r="K87" s="9">
        <f t="shared" ca="1" si="9"/>
        <v>479</v>
      </c>
      <c r="L87" s="9">
        <f t="shared" ca="1" si="9"/>
        <v>376</v>
      </c>
      <c r="M87" s="9">
        <f t="shared" ca="1" si="10"/>
        <v>855</v>
      </c>
      <c r="N87" s="16">
        <f t="shared" ca="1" si="11"/>
        <v>-61893.45</v>
      </c>
    </row>
    <row r="88" spans="1:15" x14ac:dyDescent="0.2">
      <c r="A88" s="9" t="s">
        <v>113</v>
      </c>
      <c r="B88" s="10">
        <v>5407</v>
      </c>
      <c r="C88" s="9">
        <f ca="1">SUMIF(AWPU!$B:$M,$B88,AWPU!$C:$C)</f>
        <v>0</v>
      </c>
      <c r="D88" s="9">
        <f ca="1">SUMIF(AWPU!$B:$M,$B88,AWPU!$D:$D)</f>
        <v>658</v>
      </c>
      <c r="E88" s="9">
        <f ca="1">SUMIF(AWPU!$B:$M,$B88,AWPU!$E:$E)</f>
        <v>377</v>
      </c>
      <c r="F88" s="9">
        <f t="shared" ca="1" si="8"/>
        <v>1035</v>
      </c>
      <c r="G88" s="9">
        <f ca="1">SUMIF(AWPU!$B:$M,$B88,AWPU!$G:$G)</f>
        <v>0</v>
      </c>
      <c r="H88" s="9">
        <f ca="1">SUMIF(AWPU!$B:$M,$B88,AWPU!$H:$H)</f>
        <v>0</v>
      </c>
      <c r="I88" s="9">
        <f ca="1">SUMIF(AWPU!$B:$M,$B88,AWPU!$I:$I)</f>
        <v>0</v>
      </c>
      <c r="J88" s="9">
        <f t="shared" ca="1" si="9"/>
        <v>0</v>
      </c>
      <c r="K88" s="9">
        <f t="shared" ca="1" si="9"/>
        <v>658</v>
      </c>
      <c r="L88" s="9">
        <f t="shared" ca="1" si="9"/>
        <v>377</v>
      </c>
      <c r="M88" s="9">
        <f t="shared" ca="1" si="10"/>
        <v>1035</v>
      </c>
      <c r="N88" s="16">
        <f t="shared" ca="1" si="11"/>
        <v>-74923.649999999994</v>
      </c>
    </row>
    <row r="89" spans="1:15" s="33" customFormat="1" x14ac:dyDescent="0.2">
      <c r="A89" s="805" t="s">
        <v>72</v>
      </c>
      <c r="B89" s="27">
        <v>4607</v>
      </c>
      <c r="C89" s="805"/>
      <c r="D89" s="805"/>
      <c r="E89" s="805"/>
      <c r="F89" s="805"/>
      <c r="G89" s="805"/>
      <c r="H89" s="805"/>
      <c r="I89" s="805"/>
      <c r="J89" s="805"/>
      <c r="K89" s="805"/>
      <c r="L89" s="805"/>
      <c r="M89" s="805"/>
      <c r="N89" s="807"/>
      <c r="O89" s="33" t="s">
        <v>555</v>
      </c>
    </row>
    <row r="90" spans="1:15" s="33" customFormat="1" x14ac:dyDescent="0.2">
      <c r="A90" s="805" t="s">
        <v>137</v>
      </c>
      <c r="B90" s="28">
        <v>4002</v>
      </c>
      <c r="C90" s="805"/>
      <c r="D90" s="805"/>
      <c r="E90" s="805"/>
      <c r="F90" s="805"/>
      <c r="G90" s="805"/>
      <c r="H90" s="805"/>
      <c r="I90" s="805"/>
      <c r="J90" s="805"/>
      <c r="K90" s="805"/>
      <c r="L90" s="805"/>
      <c r="M90" s="805"/>
      <c r="N90" s="807"/>
      <c r="O90" s="33" t="s">
        <v>555</v>
      </c>
    </row>
    <row r="91" spans="1:15" s="33" customFormat="1" x14ac:dyDescent="0.2">
      <c r="A91" s="805" t="s">
        <v>74</v>
      </c>
      <c r="B91" s="27">
        <v>5412</v>
      </c>
      <c r="C91" s="805"/>
      <c r="D91" s="805"/>
      <c r="E91" s="805"/>
      <c r="F91" s="805"/>
      <c r="G91" s="805"/>
      <c r="H91" s="805"/>
      <c r="I91" s="805"/>
      <c r="J91" s="805"/>
      <c r="K91" s="805"/>
      <c r="L91" s="805"/>
      <c r="M91" s="805"/>
      <c r="N91" s="807"/>
      <c r="O91" s="33" t="s">
        <v>555</v>
      </c>
    </row>
    <row r="92" spans="1:15" s="33" customFormat="1" x14ac:dyDescent="0.2">
      <c r="A92" s="805" t="s">
        <v>73</v>
      </c>
      <c r="B92" s="27">
        <v>5414</v>
      </c>
      <c r="C92" s="805"/>
      <c r="D92" s="805"/>
      <c r="E92" s="805"/>
      <c r="F92" s="805"/>
      <c r="G92" s="805"/>
      <c r="H92" s="805"/>
      <c r="I92" s="805"/>
      <c r="J92" s="805"/>
      <c r="K92" s="805"/>
      <c r="L92" s="805"/>
      <c r="M92" s="805"/>
      <c r="N92" s="807"/>
      <c r="O92" s="33" t="s">
        <v>555</v>
      </c>
    </row>
    <row r="93" spans="1:15" s="33" customFormat="1" x14ac:dyDescent="0.2">
      <c r="A93" s="805" t="s">
        <v>597</v>
      </c>
      <c r="B93" s="27">
        <v>6905</v>
      </c>
      <c r="C93" s="805"/>
      <c r="D93" s="805"/>
      <c r="E93" s="805"/>
      <c r="F93" s="805"/>
      <c r="G93" s="805"/>
      <c r="H93" s="805"/>
      <c r="I93" s="805"/>
      <c r="J93" s="805"/>
      <c r="K93" s="805"/>
      <c r="L93" s="805"/>
      <c r="M93" s="805"/>
      <c r="N93" s="807"/>
      <c r="O93" s="33" t="s">
        <v>1270</v>
      </c>
    </row>
    <row r="94" spans="1:15" x14ac:dyDescent="0.2">
      <c r="A94" s="9"/>
      <c r="B94" s="10"/>
      <c r="C94" s="9"/>
      <c r="D94" s="9"/>
      <c r="E94" s="9"/>
      <c r="F94" s="9"/>
      <c r="G94" s="9"/>
      <c r="H94" s="9"/>
      <c r="I94" s="9"/>
      <c r="J94" s="9"/>
      <c r="K94" s="9"/>
      <c r="L94" s="9"/>
      <c r="M94" s="9"/>
      <c r="N94" s="16"/>
    </row>
    <row r="95" spans="1:15" x14ac:dyDescent="0.2">
      <c r="A95" s="1" t="s">
        <v>115</v>
      </c>
      <c r="B95" s="1" t="s">
        <v>115</v>
      </c>
      <c r="C95" s="1">
        <f t="shared" ref="C95:N95" ca="1" si="12">SUM(C81:C94)</f>
        <v>0</v>
      </c>
      <c r="D95" s="1">
        <f t="shared" ca="1" si="12"/>
        <v>3118</v>
      </c>
      <c r="E95" s="1">
        <f t="shared" ca="1" si="12"/>
        <v>2032</v>
      </c>
      <c r="F95" s="1">
        <f t="shared" ca="1" si="12"/>
        <v>5150</v>
      </c>
      <c r="G95" s="1">
        <f t="shared" ca="1" si="12"/>
        <v>0</v>
      </c>
      <c r="H95" s="1">
        <f t="shared" ca="1" si="12"/>
        <v>0</v>
      </c>
      <c r="I95" s="1">
        <f t="shared" ca="1" si="12"/>
        <v>0</v>
      </c>
      <c r="J95" s="1">
        <f t="shared" ca="1" si="12"/>
        <v>0</v>
      </c>
      <c r="K95" s="1">
        <f t="shared" ca="1" si="12"/>
        <v>3118</v>
      </c>
      <c r="L95" s="1">
        <f t="shared" ca="1" si="12"/>
        <v>2032</v>
      </c>
      <c r="M95" s="1">
        <f t="shared" ca="1" si="12"/>
        <v>5150</v>
      </c>
      <c r="N95" s="1">
        <f t="shared" ca="1" si="12"/>
        <v>-372808.5</v>
      </c>
    </row>
    <row r="96" spans="1:15" x14ac:dyDescent="0.2">
      <c r="A96" s="1"/>
      <c r="B96" s="1"/>
      <c r="C96" s="1"/>
      <c r="D96" s="1"/>
      <c r="E96" s="1"/>
      <c r="F96" s="1"/>
      <c r="G96" s="1"/>
      <c r="H96" s="1"/>
      <c r="I96" s="1"/>
      <c r="J96" s="1"/>
      <c r="K96" s="1"/>
      <c r="L96" s="1"/>
      <c r="M96" s="1"/>
      <c r="N96" s="1"/>
    </row>
    <row r="97" spans="1:15" x14ac:dyDescent="0.2">
      <c r="A97" s="9" t="s">
        <v>114</v>
      </c>
      <c r="B97" s="10">
        <v>4177</v>
      </c>
      <c r="C97" s="9">
        <f ca="1">SUMIF(AWPU!$B:$M,$B97,AWPU!$C:$C)</f>
        <v>82.5</v>
      </c>
      <c r="D97" s="9">
        <f ca="1">SUMIF(AWPU!$B:$M,$B97,AWPU!$D:$D)</f>
        <v>385</v>
      </c>
      <c r="E97" s="9">
        <f ca="1">SUMIF(AWPU!$B:$M,$B97,AWPU!$E:$E)</f>
        <v>277</v>
      </c>
      <c r="F97" s="9">
        <f t="shared" ref="F97" ca="1" si="13">SUM(C97:E97)</f>
        <v>744.5</v>
      </c>
      <c r="G97" s="9">
        <f ca="1">SUMIF(AWPU!$B:$M,$B97,AWPU!$G:$G)</f>
        <v>0</v>
      </c>
      <c r="H97" s="9">
        <f ca="1">SUMIF(AWPU!$B:$M,$B97,AWPU!$H:$H)</f>
        <v>25</v>
      </c>
      <c r="I97" s="9">
        <f ca="1">SUMIF(AWPU!$B:$M,$B97,AWPU!$I:$I)</f>
        <v>20</v>
      </c>
      <c r="J97" s="1074">
        <f ca="1">C97-G97-82.5</f>
        <v>0</v>
      </c>
      <c r="K97" s="1074">
        <f ca="1">D97-H97+82.5</f>
        <v>442.5</v>
      </c>
      <c r="L97" s="9">
        <f ca="1">E97-I97</f>
        <v>257</v>
      </c>
      <c r="M97" s="9">
        <f ca="1">SUM(J97:L97)</f>
        <v>699.5</v>
      </c>
      <c r="N97" s="16">
        <f ca="1">SUM(J97*$K$3)+SUM(K97*$K$3)+SUM(L97*$L$4)</f>
        <v>-50636.805</v>
      </c>
    </row>
    <row r="98" spans="1:15" x14ac:dyDescent="0.2">
      <c r="A98" s="1"/>
      <c r="B98" s="1"/>
      <c r="C98" s="1"/>
      <c r="D98" s="1"/>
      <c r="E98" s="1"/>
      <c r="F98" s="1"/>
      <c r="G98" s="1"/>
      <c r="H98" s="1"/>
      <c r="I98" s="1"/>
      <c r="J98" s="1"/>
      <c r="K98" s="1"/>
      <c r="L98" s="1"/>
      <c r="M98" s="1"/>
      <c r="N98" s="1"/>
    </row>
    <row r="99" spans="1:15" x14ac:dyDescent="0.2">
      <c r="A99" s="1" t="s">
        <v>914</v>
      </c>
      <c r="B99" s="1" t="s">
        <v>915</v>
      </c>
      <c r="C99" s="1">
        <f ca="1">C97</f>
        <v>82.5</v>
      </c>
      <c r="D99" s="1">
        <f t="shared" ref="D99:N99" ca="1" si="14">D97</f>
        <v>385</v>
      </c>
      <c r="E99" s="1">
        <f t="shared" ca="1" si="14"/>
        <v>277</v>
      </c>
      <c r="F99" s="1">
        <f t="shared" ca="1" si="14"/>
        <v>744.5</v>
      </c>
      <c r="G99" s="1">
        <f t="shared" ca="1" si="14"/>
        <v>0</v>
      </c>
      <c r="H99" s="1">
        <f t="shared" ca="1" si="14"/>
        <v>25</v>
      </c>
      <c r="I99" s="1">
        <f t="shared" ca="1" si="14"/>
        <v>20</v>
      </c>
      <c r="J99" s="1">
        <f t="shared" ca="1" si="14"/>
        <v>0</v>
      </c>
      <c r="K99" s="1">
        <f t="shared" ca="1" si="14"/>
        <v>442.5</v>
      </c>
      <c r="L99" s="1">
        <f t="shared" ca="1" si="14"/>
        <v>257</v>
      </c>
      <c r="M99" s="1">
        <f t="shared" ca="1" si="14"/>
        <v>699.5</v>
      </c>
      <c r="N99" s="1">
        <f t="shared" ca="1" si="14"/>
        <v>-50636.805</v>
      </c>
    </row>
    <row r="100" spans="1:15" x14ac:dyDescent="0.2">
      <c r="A100" s="1"/>
      <c r="B100" s="10"/>
      <c r="C100" s="9"/>
      <c r="D100" s="9"/>
      <c r="E100" s="9"/>
      <c r="F100" s="9"/>
      <c r="G100" s="9"/>
      <c r="H100" s="9"/>
      <c r="I100" s="9"/>
      <c r="J100" s="9"/>
      <c r="K100" s="9"/>
      <c r="L100" s="9"/>
      <c r="M100" s="9"/>
      <c r="N100" s="16"/>
    </row>
    <row r="101" spans="1:15" x14ac:dyDescent="0.2">
      <c r="A101" s="1" t="s">
        <v>116</v>
      </c>
      <c r="B101" s="1" t="s">
        <v>117</v>
      </c>
      <c r="C101" s="1">
        <f t="shared" ref="C101:N101" ca="1" si="15">C99+C95+C79</f>
        <v>19934.5</v>
      </c>
      <c r="D101" s="1">
        <f t="shared" ca="1" si="15"/>
        <v>3503</v>
      </c>
      <c r="E101" s="1">
        <f t="shared" ca="1" si="15"/>
        <v>2309</v>
      </c>
      <c r="F101" s="1">
        <f t="shared" ca="1" si="15"/>
        <v>25746.5</v>
      </c>
      <c r="G101" s="1">
        <f t="shared" ca="1" si="15"/>
        <v>127</v>
      </c>
      <c r="H101" s="1">
        <f ca="1">H99+H95+H79</f>
        <v>25</v>
      </c>
      <c r="I101" s="1">
        <f t="shared" ca="1" si="15"/>
        <v>20</v>
      </c>
      <c r="J101" s="1">
        <f t="shared" ca="1" si="15"/>
        <v>19712</v>
      </c>
      <c r="K101" s="1">
        <f t="shared" ca="1" si="15"/>
        <v>3560.5</v>
      </c>
      <c r="L101" s="1">
        <f t="shared" ca="1" si="15"/>
        <v>2289</v>
      </c>
      <c r="M101" s="1">
        <f t="shared" ca="1" si="15"/>
        <v>25561.5</v>
      </c>
      <c r="N101" s="1">
        <f t="shared" ca="1" si="15"/>
        <v>-1934172.9849999999</v>
      </c>
    </row>
    <row r="102" spans="1:15" x14ac:dyDescent="0.2">
      <c r="A102" s="1081"/>
      <c r="B102" s="1082"/>
      <c r="C102" s="9">
        <f>AWPU!C102</f>
        <v>22107.5</v>
      </c>
      <c r="D102" s="9">
        <f>AWPU!D102</f>
        <v>8377</v>
      </c>
      <c r="E102" s="9">
        <f>AWPU!E102</f>
        <v>5670</v>
      </c>
      <c r="F102" s="9">
        <f>AWPU!F102</f>
        <v>36154.5</v>
      </c>
      <c r="G102" s="9">
        <f>AWPU!G102</f>
        <v>140</v>
      </c>
      <c r="H102" s="9">
        <f>AWPU!H102</f>
        <v>43</v>
      </c>
      <c r="I102" s="9">
        <f>AWPU!I102</f>
        <v>54</v>
      </c>
      <c r="J102" s="9">
        <f>AWPU!J102</f>
        <v>21967.5</v>
      </c>
      <c r="K102" s="9">
        <f>AWPU!K102</f>
        <v>8334</v>
      </c>
      <c r="L102" s="9">
        <f>AWPU!L102</f>
        <v>5616</v>
      </c>
      <c r="M102" s="9">
        <f>AWPU!M102</f>
        <v>35917.5</v>
      </c>
      <c r="N102" s="1"/>
      <c r="O102" s="1"/>
    </row>
    <row r="103" spans="1:15" x14ac:dyDescent="0.2">
      <c r="B103" s="2" t="s">
        <v>1271</v>
      </c>
      <c r="C103" s="11">
        <f>AWPU!C16+AWPU!C18+AWPU!C35+AWPU!C44+AWPU!C66+AWPU!C69+AWPU!C77+AWPU!C81+AWPU!C84+AWPU!C86+AWPU!C89+AWPU!C90+AWPU!C91+AWPU!C92+AWPU!C93+AWPU!C94</f>
        <v>1815</v>
      </c>
      <c r="D103" s="11">
        <f>AWPU!D16+AWPU!D18+AWPU!D35+AWPU!D44+AWPU!D66+AWPU!D69+AWPU!D77+AWPU!D81+AWPU!D84+AWPU!D86+AWPU!D89+AWPU!D90+AWPU!D91+AWPU!D92+AWPU!D93+AWPU!D94</f>
        <v>4874</v>
      </c>
      <c r="E103" s="11">
        <f>AWPU!E16+AWPU!E18+AWPU!E35+AWPU!E44+AWPU!E66+AWPU!E69+AWPU!E77+AWPU!E81+AWPU!E84+AWPU!E86+AWPU!E89+AWPU!E90+AWPU!E91+AWPU!E92+AWPU!E93+AWPU!E94</f>
        <v>3361</v>
      </c>
      <c r="F103" s="11">
        <f>AWPU!F16+AWPU!F18+AWPU!F35+AWPU!F44+AWPU!F66+AWPU!F69+AWPU!F77+AWPU!F81+AWPU!F84+AWPU!F86+AWPU!F89+AWPU!F90+AWPU!F91+AWPU!F92+AWPU!F93+AWPU!F94</f>
        <v>10050</v>
      </c>
      <c r="G103" s="11">
        <f>AWPU!G16+AWPU!G18+AWPU!G35+AWPU!G44+AWPU!G66+AWPU!G69+AWPU!G77+AWPU!G81+AWPU!G84+AWPU!G86+AWPU!G89+AWPU!G90+AWPU!G91+AWPU!G92+AWPU!G93+AWPU!G94</f>
        <v>0</v>
      </c>
      <c r="H103" s="11">
        <f>AWPU!H16+AWPU!H18+AWPU!H35+AWPU!H44+AWPU!H66+AWPU!H69+AWPU!H77+AWPU!H81+AWPU!H84+AWPU!H86+AWPU!H89+AWPU!H90+AWPU!H91+AWPU!H92+AWPU!H93+AWPU!H94</f>
        <v>18</v>
      </c>
      <c r="I103" s="11">
        <f>AWPU!I16+AWPU!I18+AWPU!I35+AWPU!I44+AWPU!I66+AWPU!I69+AWPU!I77+AWPU!I81+AWPU!I84+AWPU!I86+AWPU!I89+AWPU!I90+AWPU!I91+AWPU!I92+AWPU!I93+AWPU!I94</f>
        <v>34</v>
      </c>
      <c r="J103" s="11">
        <f>AWPU!J16+AWPU!J18+AWPU!J35+AWPU!J44+AWPU!J66+AWPU!J69+AWPU!J77+AWPU!J81+AWPU!J84+AWPU!J86+AWPU!J89+AWPU!J90+AWPU!J91+AWPU!J92+AWPU!J93+AWPU!J94</f>
        <v>1815</v>
      </c>
      <c r="K103" s="11">
        <f>AWPU!K16+AWPU!K18+AWPU!K35+AWPU!K44+AWPU!K66+AWPU!K69+AWPU!K77+AWPU!K81+AWPU!K84+AWPU!K86+AWPU!K89+AWPU!K90+AWPU!K91+AWPU!K92+AWPU!K93+AWPU!K94</f>
        <v>4856</v>
      </c>
      <c r="L103" s="11">
        <f>AWPU!L16+AWPU!L18+AWPU!L35+AWPU!L44+AWPU!L66+AWPU!L69+AWPU!L77+AWPU!L81+AWPU!L84+AWPU!L86+AWPU!L89+AWPU!L90+AWPU!L91+AWPU!L92+AWPU!L93+AWPU!L94</f>
        <v>3327</v>
      </c>
      <c r="M103" s="11">
        <f>AWPU!M16+AWPU!M18+AWPU!M35+AWPU!M44+AWPU!M66+AWPU!M69+AWPU!M77+AWPU!M81+AWPU!M84+AWPU!M86+AWPU!M89+AWPU!M90+AWPU!M91+AWPU!M92+AWPU!M93+AWPU!M94</f>
        <v>9998</v>
      </c>
      <c r="N103" s="11"/>
      <c r="O103" s="11"/>
    </row>
    <row r="104" spans="1:15" x14ac:dyDescent="0.2">
      <c r="B104" s="2" t="s">
        <v>1272</v>
      </c>
      <c r="C104" s="11">
        <f>C102-C103</f>
        <v>20292.5</v>
      </c>
      <c r="D104" s="11">
        <f t="shared" ref="D104:M104" si="16">D102-D103</f>
        <v>3503</v>
      </c>
      <c r="E104" s="11">
        <f t="shared" si="16"/>
        <v>2309</v>
      </c>
      <c r="F104" s="11">
        <f t="shared" si="16"/>
        <v>26104.5</v>
      </c>
      <c r="G104" s="11">
        <f t="shared" si="16"/>
        <v>140</v>
      </c>
      <c r="H104" s="11">
        <f t="shared" si="16"/>
        <v>25</v>
      </c>
      <c r="I104" s="11">
        <f t="shared" si="16"/>
        <v>20</v>
      </c>
      <c r="J104" s="11">
        <f t="shared" si="16"/>
        <v>20152.5</v>
      </c>
      <c r="K104" s="11">
        <f t="shared" si="16"/>
        <v>3478</v>
      </c>
      <c r="L104" s="11">
        <f t="shared" si="16"/>
        <v>2289</v>
      </c>
      <c r="M104" s="11">
        <f t="shared" si="16"/>
        <v>25919.5</v>
      </c>
    </row>
    <row r="105" spans="1:15" x14ac:dyDescent="0.2">
      <c r="B105" s="2" t="s">
        <v>934</v>
      </c>
      <c r="C105" s="11">
        <f ca="1">C104-C101</f>
        <v>358</v>
      </c>
      <c r="D105" s="11">
        <f t="shared" ref="D105:M105" ca="1" si="17">D104-D101</f>
        <v>0</v>
      </c>
      <c r="E105" s="11">
        <f t="shared" ca="1" si="17"/>
        <v>0</v>
      </c>
      <c r="F105" s="11">
        <f t="shared" ca="1" si="17"/>
        <v>358</v>
      </c>
      <c r="G105" s="11">
        <f t="shared" ca="1" si="17"/>
        <v>13</v>
      </c>
      <c r="H105" s="11">
        <f t="shared" ca="1" si="17"/>
        <v>0</v>
      </c>
      <c r="I105" s="11">
        <f t="shared" ca="1" si="17"/>
        <v>0</v>
      </c>
      <c r="J105" s="11">
        <f t="shared" ca="1" si="17"/>
        <v>440.5</v>
      </c>
      <c r="K105" s="11">
        <f t="shared" ca="1" si="17"/>
        <v>-82.5</v>
      </c>
      <c r="L105" s="11">
        <f t="shared" ca="1" si="17"/>
        <v>0</v>
      </c>
      <c r="M105" s="11">
        <f t="shared" ca="1" si="17"/>
        <v>358</v>
      </c>
    </row>
    <row r="109" spans="1:15" x14ac:dyDescent="0.2">
      <c r="A109" s="132" t="s">
        <v>1273</v>
      </c>
      <c r="B109" s="2" t="s">
        <v>1274</v>
      </c>
      <c r="C109" s="2" t="s">
        <v>1274</v>
      </c>
      <c r="E109" s="1083" t="s">
        <v>1106</v>
      </c>
      <c r="F109" s="1083" t="s">
        <v>1106</v>
      </c>
      <c r="G109" s="1084" t="s">
        <v>149</v>
      </c>
      <c r="H109" s="1085" t="s">
        <v>92</v>
      </c>
      <c r="I109" s="11" t="s">
        <v>903</v>
      </c>
      <c r="J109" s="11" t="s">
        <v>900</v>
      </c>
    </row>
    <row r="110" spans="1:15" x14ac:dyDescent="0.2">
      <c r="A110" s="11" t="s">
        <v>1275</v>
      </c>
      <c r="B110" s="21" t="s">
        <v>0</v>
      </c>
      <c r="C110" s="21" t="s">
        <v>1</v>
      </c>
      <c r="E110" s="1086" t="s">
        <v>1050</v>
      </c>
      <c r="F110" s="23" t="s">
        <v>1051</v>
      </c>
      <c r="G110" s="23"/>
      <c r="H110" s="1087"/>
    </row>
    <row r="111" spans="1:15" ht="15" x14ac:dyDescent="0.2">
      <c r="A111" s="11" t="s">
        <v>631</v>
      </c>
      <c r="B111" s="416">
        <v>6.01</v>
      </c>
      <c r="C111" s="416">
        <v>6.01</v>
      </c>
      <c r="E111" s="1086">
        <f ca="1">H112*B111</f>
        <v>117973.295</v>
      </c>
      <c r="F111" s="23">
        <f ca="1">H115*C111</f>
        <v>35651.32</v>
      </c>
      <c r="G111" s="11">
        <f ca="1">E111+F111</f>
        <v>153624.61499999999</v>
      </c>
      <c r="H111" s="23" t="s">
        <v>0</v>
      </c>
      <c r="I111" s="11">
        <f>I139</f>
        <v>181193.68268982976</v>
      </c>
      <c r="J111" s="1073">
        <f ca="1">G111-I111</f>
        <v>-27569.067689829768</v>
      </c>
      <c r="K111" s="1073" t="s">
        <v>1276</v>
      </c>
    </row>
    <row r="112" spans="1:15" ht="15" x14ac:dyDescent="0.2">
      <c r="A112" s="11" t="s">
        <v>632</v>
      </c>
      <c r="B112" s="417">
        <v>3.5</v>
      </c>
      <c r="C112" s="417">
        <v>3.5</v>
      </c>
      <c r="E112" s="1086">
        <f ca="1">H112*B112</f>
        <v>68703.25</v>
      </c>
      <c r="F112" s="23">
        <f ca="1">H115*C112</f>
        <v>20762</v>
      </c>
      <c r="G112" s="1088">
        <f t="shared" ref="G112:G119" ca="1" si="18">E112+F112</f>
        <v>89465.25</v>
      </c>
      <c r="H112" s="23">
        <f ca="1">J101-J122</f>
        <v>19629.5</v>
      </c>
      <c r="I112" s="11">
        <f t="shared" ref="I112:I118" si="19">I140</f>
        <v>66537.664462954446</v>
      </c>
      <c r="J112" s="11">
        <f ca="1">G112-I112</f>
        <v>22927.585537045554</v>
      </c>
      <c r="K112" s="11" t="s">
        <v>1277</v>
      </c>
    </row>
    <row r="113" spans="1:11" ht="15" x14ac:dyDescent="0.2">
      <c r="A113" s="11" t="s">
        <v>633</v>
      </c>
      <c r="B113" s="416">
        <v>10.01</v>
      </c>
      <c r="C113" s="416">
        <v>10.01</v>
      </c>
      <c r="E113" s="1086">
        <f ca="1">H112*B113</f>
        <v>196491.29499999998</v>
      </c>
      <c r="F113" s="23">
        <f ca="1">H115*C113</f>
        <v>59379.32</v>
      </c>
      <c r="G113" s="1088">
        <f t="shared" ca="1" si="18"/>
        <v>255870.61499999999</v>
      </c>
      <c r="H113" s="23"/>
      <c r="I113" s="11">
        <f t="shared" si="19"/>
        <v>329236.96855729405</v>
      </c>
      <c r="J113" s="1073">
        <f t="shared" ref="J113:J118" ca="1" si="20">G113-I113</f>
        <v>-73366.35355729406</v>
      </c>
      <c r="K113" s="1073" t="s">
        <v>1276</v>
      </c>
    </row>
    <row r="114" spans="1:11" ht="15" x14ac:dyDescent="0.2">
      <c r="A114" s="11" t="s">
        <v>634</v>
      </c>
      <c r="B114" s="416">
        <v>3</v>
      </c>
      <c r="C114" s="416">
        <v>3</v>
      </c>
      <c r="E114" s="1086">
        <f ca="1">H112*B114</f>
        <v>58888.5</v>
      </c>
      <c r="F114" s="23">
        <f ca="1">H115*C114</f>
        <v>17796</v>
      </c>
      <c r="G114" s="11">
        <f t="shared" ca="1" si="18"/>
        <v>76684.5</v>
      </c>
      <c r="H114" s="23" t="s">
        <v>1</v>
      </c>
      <c r="I114" s="11">
        <f t="shared" si="19"/>
        <v>30381.991997502533</v>
      </c>
      <c r="J114" s="11">
        <f t="shared" ca="1" si="20"/>
        <v>46302.508002497467</v>
      </c>
      <c r="K114" s="11" t="s">
        <v>1277</v>
      </c>
    </row>
    <row r="115" spans="1:11" ht="15" x14ac:dyDescent="0.2">
      <c r="A115" s="11" t="s">
        <v>1278</v>
      </c>
      <c r="B115" s="416">
        <v>21.14</v>
      </c>
      <c r="C115" s="416">
        <v>21.14</v>
      </c>
      <c r="E115" s="1086">
        <f ca="1">H112*B115</f>
        <v>414967.63</v>
      </c>
      <c r="F115" s="23">
        <f ca="1">H115*C115</f>
        <v>125402.48000000001</v>
      </c>
      <c r="G115" s="11">
        <f t="shared" ca="1" si="18"/>
        <v>540370.11</v>
      </c>
      <c r="H115" s="23">
        <f ca="1">K101+L101+J122</f>
        <v>5932</v>
      </c>
      <c r="I115" s="11">
        <f t="shared" si="19"/>
        <v>427843.44786148181</v>
      </c>
      <c r="J115" s="11">
        <f t="shared" ca="1" si="20"/>
        <v>112526.66213851818</v>
      </c>
      <c r="K115" s="11" t="s">
        <v>1277</v>
      </c>
    </row>
    <row r="116" spans="1:11" ht="15" x14ac:dyDescent="0.2">
      <c r="A116" s="11" t="s">
        <v>638</v>
      </c>
      <c r="B116" s="1089">
        <v>9.6999999999999993</v>
      </c>
      <c r="C116" s="416">
        <v>11.93</v>
      </c>
      <c r="E116" s="1086">
        <f ca="1">H112*B116</f>
        <v>190406.15</v>
      </c>
      <c r="F116" s="23">
        <f ca="1">H115*C116</f>
        <v>70768.759999999995</v>
      </c>
      <c r="G116" s="11">
        <f t="shared" ca="1" si="18"/>
        <v>261174.90999999997</v>
      </c>
      <c r="H116" s="1087"/>
      <c r="I116" s="11">
        <f t="shared" si="19"/>
        <v>243524.00648734468</v>
      </c>
      <c r="J116" s="11">
        <f t="shared" ca="1" si="20"/>
        <v>17650.903512655292</v>
      </c>
      <c r="K116" s="11" t="s">
        <v>1277</v>
      </c>
    </row>
    <row r="117" spans="1:11" ht="15" x14ac:dyDescent="0.2">
      <c r="A117" s="11" t="s">
        <v>1279</v>
      </c>
      <c r="B117" s="416">
        <f>9.31+1.56+4.29+6.73</f>
        <v>21.89</v>
      </c>
      <c r="C117" s="416">
        <f>9.31+1.56+5.93</f>
        <v>16.8</v>
      </c>
      <c r="E117" s="1086">
        <f ca="1">H112*B117</f>
        <v>429689.755</v>
      </c>
      <c r="F117" s="23">
        <f ca="1">H115*C117</f>
        <v>99657.600000000006</v>
      </c>
      <c r="G117" s="11">
        <f t="shared" ca="1" si="18"/>
        <v>529347.35499999998</v>
      </c>
      <c r="H117" s="1087"/>
      <c r="I117" s="11">
        <f t="shared" si="19"/>
        <v>466102.65741003223</v>
      </c>
      <c r="J117" s="11">
        <f t="shared" ca="1" si="20"/>
        <v>63244.697589967749</v>
      </c>
      <c r="K117" s="11" t="s">
        <v>1277</v>
      </c>
    </row>
    <row r="118" spans="1:11" ht="15" x14ac:dyDescent="0.2">
      <c r="A118" s="11" t="s">
        <v>637</v>
      </c>
      <c r="B118" s="416">
        <v>1.39</v>
      </c>
      <c r="C118" s="1090">
        <v>0</v>
      </c>
      <c r="E118" s="1086">
        <f ca="1">H112*B118</f>
        <v>27285.004999999997</v>
      </c>
      <c r="F118" s="23">
        <f ca="1">H115*C118</f>
        <v>0</v>
      </c>
      <c r="G118" s="1088">
        <f t="shared" ca="1" si="18"/>
        <v>27285.004999999997</v>
      </c>
      <c r="H118" s="1087"/>
      <c r="I118" s="11">
        <f t="shared" si="19"/>
        <v>32387.525150943395</v>
      </c>
      <c r="J118" s="1073">
        <f t="shared" ca="1" si="20"/>
        <v>-5102.5201509433973</v>
      </c>
      <c r="K118" s="1073" t="s">
        <v>1276</v>
      </c>
    </row>
    <row r="119" spans="1:11" x14ac:dyDescent="0.2">
      <c r="A119" s="11">
        <f>SUM(330000/406000)*11.93</f>
        <v>9.6967980295566498</v>
      </c>
      <c r="B119" s="1091">
        <f>SUM(B111:B118)</f>
        <v>76.64</v>
      </c>
      <c r="C119" s="1091">
        <f>SUM(C111:C118)</f>
        <v>72.39</v>
      </c>
      <c r="E119" s="1086">
        <f ca="1">SUM(E111:E118)</f>
        <v>1504404.88</v>
      </c>
      <c r="F119" s="23">
        <f ca="1">SUM(F111:F118)</f>
        <v>429417.48</v>
      </c>
      <c r="G119" s="11">
        <f t="shared" ca="1" si="18"/>
        <v>1933822.3599999999</v>
      </c>
      <c r="H119" s="11">
        <f ca="1">SUM(H112:H118)</f>
        <v>25561.5</v>
      </c>
      <c r="I119" s="23">
        <f>SUM(I111:I118)</f>
        <v>1777207.9446173829</v>
      </c>
    </row>
    <row r="120" spans="1:11" x14ac:dyDescent="0.2">
      <c r="E120" s="1092"/>
      <c r="F120" s="1093"/>
      <c r="G120" s="1093"/>
      <c r="H120" s="1094"/>
    </row>
    <row r="121" spans="1:11" x14ac:dyDescent="0.2">
      <c r="J121" s="11" t="s">
        <v>1280</v>
      </c>
    </row>
    <row r="122" spans="1:11" x14ac:dyDescent="0.2">
      <c r="A122" s="11" t="s">
        <v>1281</v>
      </c>
      <c r="E122" s="1083" t="s">
        <v>1106</v>
      </c>
      <c r="F122" s="1083" t="s">
        <v>1106</v>
      </c>
      <c r="G122" s="1084" t="s">
        <v>149</v>
      </c>
      <c r="H122" s="1085" t="s">
        <v>92</v>
      </c>
      <c r="J122" s="21">
        <v>82.5</v>
      </c>
    </row>
    <row r="123" spans="1:11" x14ac:dyDescent="0.2">
      <c r="A123" s="11" t="s">
        <v>1282</v>
      </c>
      <c r="B123" s="21" t="s">
        <v>0</v>
      </c>
      <c r="C123" s="21" t="s">
        <v>1</v>
      </c>
      <c r="E123" s="1086" t="s">
        <v>1050</v>
      </c>
      <c r="F123" s="23" t="s">
        <v>1051</v>
      </c>
      <c r="G123" s="23"/>
      <c r="H123" s="1087"/>
    </row>
    <row r="124" spans="1:11" ht="15" x14ac:dyDescent="0.2">
      <c r="A124" s="11" t="s">
        <v>631</v>
      </c>
      <c r="B124" s="416">
        <v>0</v>
      </c>
      <c r="C124" s="416">
        <v>0</v>
      </c>
      <c r="E124" s="1086">
        <f>H125*B124</f>
        <v>0</v>
      </c>
      <c r="F124" s="23">
        <f>H128*C124</f>
        <v>0</v>
      </c>
      <c r="G124" s="11">
        <f>E124+F124</f>
        <v>0</v>
      </c>
      <c r="H124" s="23" t="s">
        <v>0</v>
      </c>
    </row>
    <row r="125" spans="1:11" ht="15" x14ac:dyDescent="0.2">
      <c r="A125" s="11" t="s">
        <v>632</v>
      </c>
      <c r="B125" s="417">
        <v>0</v>
      </c>
      <c r="C125" s="417">
        <v>0</v>
      </c>
      <c r="E125" s="1086">
        <f>H125*B125</f>
        <v>0</v>
      </c>
      <c r="F125" s="23">
        <f>H128*C125</f>
        <v>0</v>
      </c>
      <c r="G125" s="11">
        <f t="shared" ref="G125:G132" si="21">E125+F125</f>
        <v>0</v>
      </c>
      <c r="H125" s="23">
        <f>AWPU!J110</f>
        <v>1944</v>
      </c>
    </row>
    <row r="126" spans="1:11" ht="15" x14ac:dyDescent="0.2">
      <c r="A126" s="11" t="s">
        <v>633</v>
      </c>
      <c r="B126" s="416">
        <v>0</v>
      </c>
      <c r="C126" s="416">
        <v>0</v>
      </c>
      <c r="E126" s="1086">
        <f>H125*B126</f>
        <v>0</v>
      </c>
      <c r="F126" s="23">
        <f>H128*C126</f>
        <v>0</v>
      </c>
      <c r="G126" s="11">
        <f t="shared" si="21"/>
        <v>0</v>
      </c>
      <c r="H126" s="23"/>
    </row>
    <row r="127" spans="1:11" ht="15" x14ac:dyDescent="0.2">
      <c r="A127" s="11" t="s">
        <v>634</v>
      </c>
      <c r="B127" s="416">
        <v>0</v>
      </c>
      <c r="C127" s="416">
        <v>0</v>
      </c>
      <c r="E127" s="1086">
        <f>H125*B127</f>
        <v>0</v>
      </c>
      <c r="F127" s="23">
        <f>H128*C127</f>
        <v>0</v>
      </c>
      <c r="G127" s="11">
        <f t="shared" si="21"/>
        <v>0</v>
      </c>
      <c r="H127" s="23" t="s">
        <v>1</v>
      </c>
    </row>
    <row r="128" spans="1:11" ht="15" x14ac:dyDescent="0.2">
      <c r="A128" s="11" t="s">
        <v>635</v>
      </c>
      <c r="B128" s="416">
        <v>0</v>
      </c>
      <c r="C128" s="416">
        <v>0</v>
      </c>
      <c r="E128" s="1086">
        <f>H125*B128</f>
        <v>0</v>
      </c>
      <c r="F128" s="23">
        <f>H128*C128</f>
        <v>0</v>
      </c>
      <c r="G128" s="11">
        <f t="shared" si="21"/>
        <v>0</v>
      </c>
      <c r="H128" s="23">
        <f>AWPU!K110+AWPU!L110</f>
        <v>7339</v>
      </c>
    </row>
    <row r="129" spans="1:15" ht="15" x14ac:dyDescent="0.2">
      <c r="A129" s="11" t="s">
        <v>638</v>
      </c>
      <c r="B129" s="1073">
        <f>SUM(330000/406000)*11.93</f>
        <v>9.6967980295566498</v>
      </c>
      <c r="C129" s="416">
        <v>11.93</v>
      </c>
      <c r="E129" s="1086">
        <f>H125*B129</f>
        <v>18850.575369458129</v>
      </c>
      <c r="F129" s="23">
        <f>H128*C129</f>
        <v>87554.27</v>
      </c>
      <c r="G129" s="11">
        <f t="shared" si="21"/>
        <v>106404.84536945814</v>
      </c>
      <c r="H129" s="1087"/>
    </row>
    <row r="130" spans="1:15" ht="15" x14ac:dyDescent="0.2">
      <c r="A130" s="11" t="s">
        <v>1283</v>
      </c>
      <c r="B130" s="416">
        <v>1.56</v>
      </c>
      <c r="C130" s="416">
        <f>1.56+5.93</f>
        <v>7.49</v>
      </c>
      <c r="E130" s="1086">
        <f>H125*B130</f>
        <v>3032.6400000000003</v>
      </c>
      <c r="F130" s="23">
        <f>H128*C130</f>
        <v>54969.11</v>
      </c>
      <c r="G130" s="11">
        <f t="shared" si="21"/>
        <v>58001.75</v>
      </c>
      <c r="H130" s="1087"/>
    </row>
    <row r="131" spans="1:15" ht="15" x14ac:dyDescent="0.2">
      <c r="A131" s="11" t="s">
        <v>637</v>
      </c>
      <c r="B131" s="416">
        <v>0</v>
      </c>
      <c r="C131" s="416">
        <v>0</v>
      </c>
      <c r="E131" s="1086">
        <f>H125*B131</f>
        <v>0</v>
      </c>
      <c r="F131" s="23">
        <f>H128*C131</f>
        <v>0</v>
      </c>
      <c r="G131" s="11">
        <f t="shared" si="21"/>
        <v>0</v>
      </c>
      <c r="H131" s="1087"/>
    </row>
    <row r="132" spans="1:15" x14ac:dyDescent="0.2">
      <c r="B132" s="1091">
        <f>SUM(B124:B131)</f>
        <v>11.25679802955665</v>
      </c>
      <c r="C132" s="1091">
        <f>SUM(C124:C131)</f>
        <v>19.420000000000002</v>
      </c>
      <c r="E132" s="1086">
        <f>SUM(E124:E131)</f>
        <v>21883.215369458128</v>
      </c>
      <c r="F132" s="23">
        <f>SUM(F124:F131)</f>
        <v>142523.38</v>
      </c>
      <c r="G132" s="11">
        <f t="shared" si="21"/>
        <v>164406.59536945814</v>
      </c>
      <c r="H132" s="11">
        <f>SUM(H125:H131)</f>
        <v>9283</v>
      </c>
    </row>
    <row r="133" spans="1:15" x14ac:dyDescent="0.2">
      <c r="E133" s="1092"/>
      <c r="F133" s="1093"/>
      <c r="G133" s="1093"/>
      <c r="H133" s="1094"/>
    </row>
    <row r="134" spans="1:15" x14ac:dyDescent="0.2">
      <c r="G134" s="11">
        <f ca="1">G132+G119</f>
        <v>2098228.9553694581</v>
      </c>
    </row>
    <row r="136" spans="1:15" x14ac:dyDescent="0.2">
      <c r="A136" s="1095"/>
      <c r="B136" s="1096"/>
      <c r="C136" s="1095"/>
      <c r="D136" s="1095"/>
      <c r="E136" s="1095"/>
      <c r="F136" s="1095"/>
      <c r="G136" s="1095"/>
      <c r="H136" s="1095"/>
    </row>
    <row r="137" spans="1:15" x14ac:dyDescent="0.2">
      <c r="A137" s="1095"/>
      <c r="B137" s="1096"/>
      <c r="C137" s="1095"/>
      <c r="D137" s="1095"/>
      <c r="E137" s="1097"/>
      <c r="F137" s="1098"/>
      <c r="G137" s="1098" t="s">
        <v>149</v>
      </c>
      <c r="H137" s="1099" t="s">
        <v>92</v>
      </c>
      <c r="I137" s="11" t="s">
        <v>1284</v>
      </c>
    </row>
    <row r="138" spans="1:15" x14ac:dyDescent="0.2">
      <c r="A138" s="1095" t="s">
        <v>1285</v>
      </c>
      <c r="B138" s="1100" t="s">
        <v>0</v>
      </c>
      <c r="C138" s="1100" t="s">
        <v>1</v>
      </c>
      <c r="D138" s="1095"/>
      <c r="E138" s="1101" t="s">
        <v>1050</v>
      </c>
      <c r="F138" s="1102" t="s">
        <v>1051</v>
      </c>
      <c r="G138" s="1102"/>
      <c r="H138" s="1103"/>
      <c r="I138" s="11" t="s">
        <v>1286</v>
      </c>
      <c r="J138" s="11" t="s">
        <v>1287</v>
      </c>
    </row>
    <row r="139" spans="1:15" ht="15" x14ac:dyDescent="0.2">
      <c r="A139" s="1095" t="s">
        <v>631</v>
      </c>
      <c r="B139" s="1104">
        <v>7.2730731707317089</v>
      </c>
      <c r="C139" s="1104">
        <v>6.6577358490566034</v>
      </c>
      <c r="D139" s="1095"/>
      <c r="E139" s="1101">
        <f ca="1">H140*B139</f>
        <v>143366.81834146345</v>
      </c>
      <c r="F139" s="1102">
        <f ca="1">H143*C139</f>
        <v>38944.425849056599</v>
      </c>
      <c r="G139" s="1095">
        <f ca="1">E139+F139</f>
        <v>182311.24419052005</v>
      </c>
      <c r="H139" s="1102" t="s">
        <v>0</v>
      </c>
      <c r="I139" s="11">
        <f>J$140*B139+J$143*C139</f>
        <v>181193.68268982976</v>
      </c>
      <c r="J139" s="11" t="s">
        <v>0</v>
      </c>
      <c r="O139" s="11"/>
    </row>
    <row r="140" spans="1:15" ht="15" x14ac:dyDescent="0.2">
      <c r="A140" s="1095" t="s">
        <v>632</v>
      </c>
      <c r="B140" s="1105">
        <v>3.1462439024390245</v>
      </c>
      <c r="C140" s="1105">
        <v>0.80015094339622639</v>
      </c>
      <c r="D140" s="1095"/>
      <c r="E140" s="1101">
        <f ca="1">H140*B140</f>
        <v>62018.759804878049</v>
      </c>
      <c r="F140" s="1102">
        <f ca="1">H143*C140</f>
        <v>4680.4829433962259</v>
      </c>
      <c r="G140" s="1095">
        <f t="shared" ref="G140:G147" ca="1" si="22">E140+F140</f>
        <v>66699.242748274279</v>
      </c>
      <c r="H140" s="1102">
        <f ca="1">J101</f>
        <v>19712</v>
      </c>
      <c r="I140" s="11">
        <f t="shared" ref="I140:I147" si="23">J$140*B140+J$143*C140</f>
        <v>66537.664462954446</v>
      </c>
      <c r="J140" s="11">
        <v>19700</v>
      </c>
      <c r="O140" s="11"/>
    </row>
    <row r="141" spans="1:15" ht="15" x14ac:dyDescent="0.2">
      <c r="A141" s="1095" t="s">
        <v>633</v>
      </c>
      <c r="B141" s="1104">
        <v>12.488243902439024</v>
      </c>
      <c r="C141" s="1104">
        <v>14.613207547169811</v>
      </c>
      <c r="D141" s="1095"/>
      <c r="E141" s="1101">
        <f ca="1">H140*B141</f>
        <v>246168.26380487805</v>
      </c>
      <c r="F141" s="1102">
        <f ca="1">H143*C141</f>
        <v>85479.957547169804</v>
      </c>
      <c r="G141" s="1095">
        <f t="shared" ca="1" si="22"/>
        <v>331648.22135204787</v>
      </c>
      <c r="H141" s="1102"/>
      <c r="I141" s="11">
        <f t="shared" si="23"/>
        <v>329236.96855729405</v>
      </c>
    </row>
    <row r="142" spans="1:15" ht="15" x14ac:dyDescent="0.2">
      <c r="A142" s="1095" t="s">
        <v>634</v>
      </c>
      <c r="B142" s="1104">
        <v>1.1963887022909276</v>
      </c>
      <c r="C142" s="1104">
        <v>1.1963887022909274</v>
      </c>
      <c r="D142" s="1095"/>
      <c r="E142" s="1101">
        <f ca="1">H140*B142</f>
        <v>23583.214099558765</v>
      </c>
      <c r="F142" s="1102">
        <f ca="1">H143*C142</f>
        <v>6998.2757140507802</v>
      </c>
      <c r="G142" s="1095">
        <f t="shared" ca="1" si="22"/>
        <v>30581.489813609543</v>
      </c>
      <c r="H142" s="1102" t="s">
        <v>1</v>
      </c>
      <c r="I142" s="11">
        <f t="shared" si="23"/>
        <v>30381.991997502533</v>
      </c>
      <c r="J142" s="1106" t="s">
        <v>1</v>
      </c>
    </row>
    <row r="143" spans="1:15" ht="15" x14ac:dyDescent="0.2">
      <c r="A143" s="1095" t="s">
        <v>635</v>
      </c>
      <c r="B143" s="1104">
        <v>16.530390243902438</v>
      </c>
      <c r="C143" s="1104">
        <v>17.945433962264151</v>
      </c>
      <c r="D143" s="1095"/>
      <c r="E143" s="1101">
        <f ca="1">H140*B143</f>
        <v>325847.05248780485</v>
      </c>
      <c r="F143" s="1102">
        <f ca="1">H143*C143</f>
        <v>104971.81596226415</v>
      </c>
      <c r="G143" s="1095">
        <f t="shared" ca="1" si="22"/>
        <v>430818.86845006899</v>
      </c>
      <c r="H143" s="1102">
        <f ca="1">K101+L101</f>
        <v>5849.5</v>
      </c>
      <c r="I143" s="11">
        <f t="shared" si="23"/>
        <v>427843.44786148181</v>
      </c>
      <c r="J143" s="11">
        <v>5694.75</v>
      </c>
    </row>
    <row r="144" spans="1:15" ht="15" x14ac:dyDescent="0.2">
      <c r="A144" s="1095" t="s">
        <v>638</v>
      </c>
      <c r="B144" s="1104">
        <v>9.6361951219512196</v>
      </c>
      <c r="C144" s="1104">
        <v>9.4281509433962256</v>
      </c>
      <c r="D144" s="1095"/>
      <c r="E144" s="1101">
        <f ca="1">H140*B144</f>
        <v>189948.67824390245</v>
      </c>
      <c r="F144" s="1102">
        <f ca="1">H143*C144</f>
        <v>55149.968943396219</v>
      </c>
      <c r="G144" s="1095">
        <f t="shared" ca="1" si="22"/>
        <v>245098.64718729869</v>
      </c>
      <c r="H144" s="1103"/>
      <c r="I144" s="11">
        <f t="shared" si="23"/>
        <v>243524.00648734468</v>
      </c>
      <c r="N144" s="14" t="s">
        <v>1288</v>
      </c>
      <c r="O144" s="30" t="s">
        <v>636</v>
      </c>
    </row>
    <row r="145" spans="1:16" ht="15" x14ac:dyDescent="0.2">
      <c r="A145" s="1095" t="s">
        <v>636</v>
      </c>
      <c r="B145" s="1104">
        <v>21.212878048780489</v>
      </c>
      <c r="C145" s="1104">
        <v>8.4655094339622661</v>
      </c>
      <c r="D145" s="1095"/>
      <c r="E145" s="1101">
        <f ca="1">H140*B145</f>
        <v>418148.25209756102</v>
      </c>
      <c r="F145" s="1102">
        <f ca="1">H143*C145</f>
        <v>49518.997433962279</v>
      </c>
      <c r="G145" s="1095">
        <f t="shared" ca="1" si="22"/>
        <v>467667.24953152332</v>
      </c>
      <c r="H145" s="1103"/>
      <c r="I145" s="11">
        <f t="shared" si="23"/>
        <v>466102.65741003223</v>
      </c>
      <c r="N145" s="1011">
        <v>14.460439024390244</v>
      </c>
      <c r="O145" s="21">
        <v>6.7524390243902435</v>
      </c>
      <c r="P145" s="16">
        <f>N145+O145</f>
        <v>21.212878048780489</v>
      </c>
    </row>
    <row r="146" spans="1:16" ht="15" x14ac:dyDescent="0.2">
      <c r="A146" s="1095" t="s">
        <v>637</v>
      </c>
      <c r="B146" s="1104">
        <v>1.53</v>
      </c>
      <c r="C146" s="1104">
        <v>0.39449056603773586</v>
      </c>
      <c r="D146" s="1095"/>
      <c r="E146" s="1101">
        <f ca="1">H140*B146</f>
        <v>30159.360000000001</v>
      </c>
      <c r="F146" s="1102">
        <f ca="1">H143*C146</f>
        <v>2307.5725660377357</v>
      </c>
      <c r="G146" s="1095">
        <f t="shared" ca="1" si="22"/>
        <v>32466.932566037736</v>
      </c>
      <c r="H146" s="1103"/>
      <c r="I146" s="11">
        <f t="shared" si="23"/>
        <v>32387.525150943395</v>
      </c>
      <c r="J146" s="1106"/>
      <c r="N146" s="1011">
        <v>8.4655094339622643</v>
      </c>
      <c r="O146" s="21">
        <v>0</v>
      </c>
      <c r="P146" s="16">
        <f>N146+O146</f>
        <v>8.4655094339622643</v>
      </c>
    </row>
    <row r="147" spans="1:16" x14ac:dyDescent="0.2">
      <c r="A147" s="1095"/>
      <c r="B147" s="1107">
        <f>SUM(B139:B146)</f>
        <v>73.013413092534819</v>
      </c>
      <c r="C147" s="1107">
        <f>SUM(C139:C146)</f>
        <v>59.501067947573951</v>
      </c>
      <c r="D147" s="1095"/>
      <c r="E147" s="1101">
        <f ca="1">SUM(E139:E146)</f>
        <v>1439240.3988800468</v>
      </c>
      <c r="F147" s="1102">
        <f ca="1">SUM(F139:F146)</f>
        <v>348051.49695933389</v>
      </c>
      <c r="G147" s="1095">
        <f t="shared" ca="1" si="22"/>
        <v>1787291.8958393806</v>
      </c>
      <c r="H147" s="1095">
        <f ca="1">SUM(H140:H146)</f>
        <v>25561.5</v>
      </c>
      <c r="I147" s="11">
        <f t="shared" si="23"/>
        <v>1777207.9446173827</v>
      </c>
      <c r="J147" s="11">
        <v>25394.75</v>
      </c>
    </row>
    <row r="148" spans="1:16" x14ac:dyDescent="0.2">
      <c r="A148" s="1095"/>
      <c r="B148" s="1096"/>
      <c r="C148" s="1095"/>
      <c r="D148" s="1095"/>
      <c r="E148" s="1108"/>
      <c r="F148" s="1109"/>
      <c r="G148" s="1109"/>
      <c r="H148" s="1110"/>
      <c r="K148" s="11" t="s">
        <v>1289</v>
      </c>
    </row>
    <row r="150" spans="1:16" x14ac:dyDescent="0.2">
      <c r="A150" s="809" t="s">
        <v>1290</v>
      </c>
      <c r="B150" s="2" t="s">
        <v>1274</v>
      </c>
      <c r="C150" s="2" t="s">
        <v>1274</v>
      </c>
      <c r="E150" s="1083" t="s">
        <v>1106</v>
      </c>
      <c r="F150" s="1083" t="s">
        <v>1106</v>
      </c>
      <c r="G150" s="1084" t="s">
        <v>149</v>
      </c>
      <c r="H150" s="1085" t="s">
        <v>92</v>
      </c>
    </row>
    <row r="151" spans="1:16" x14ac:dyDescent="0.2">
      <c r="A151" s="11" t="s">
        <v>1275</v>
      </c>
      <c r="B151" s="21" t="s">
        <v>0</v>
      </c>
      <c r="C151" s="21" t="s">
        <v>1</v>
      </c>
      <c r="E151" s="1086" t="s">
        <v>1050</v>
      </c>
      <c r="F151" s="23" t="s">
        <v>1051</v>
      </c>
      <c r="G151" s="23"/>
      <c r="H151" s="1087"/>
    </row>
    <row r="152" spans="1:16" ht="15" x14ac:dyDescent="0.2">
      <c r="A152" s="11" t="s">
        <v>631</v>
      </c>
      <c r="B152" s="416">
        <v>6.01</v>
      </c>
      <c r="C152" s="416">
        <v>6.01</v>
      </c>
      <c r="E152" s="1086">
        <f ca="1">H153*B152</f>
        <v>118469.12</v>
      </c>
      <c r="F152" s="23">
        <f ca="1">H156*C152</f>
        <v>35155.494999999995</v>
      </c>
      <c r="G152" s="11">
        <f ca="1">E152+F152</f>
        <v>153624.61499999999</v>
      </c>
      <c r="H152" s="23" t="s">
        <v>0</v>
      </c>
    </row>
    <row r="153" spans="1:16" ht="15" x14ac:dyDescent="0.2">
      <c r="A153" s="11" t="s">
        <v>632</v>
      </c>
      <c r="B153" s="417">
        <v>3.5</v>
      </c>
      <c r="C153" s="417">
        <v>3.5</v>
      </c>
      <c r="E153" s="1086">
        <f ca="1">H153*B153</f>
        <v>68992</v>
      </c>
      <c r="F153" s="23">
        <f ca="1">H156*C153</f>
        <v>20473.25</v>
      </c>
      <c r="G153" s="11">
        <f t="shared" ref="G153:G160" ca="1" si="24">E153+F153</f>
        <v>89465.25</v>
      </c>
      <c r="H153" s="23">
        <f ca="1">J101</f>
        <v>19712</v>
      </c>
    </row>
    <row r="154" spans="1:16" ht="15" x14ac:dyDescent="0.2">
      <c r="A154" s="11" t="s">
        <v>633</v>
      </c>
      <c r="B154" s="416">
        <v>10.01</v>
      </c>
      <c r="C154" s="416">
        <v>10.01</v>
      </c>
      <c r="E154" s="1086">
        <f ca="1">H153*B154</f>
        <v>197317.12</v>
      </c>
      <c r="F154" s="23">
        <f ca="1">H156*C154</f>
        <v>58553.494999999995</v>
      </c>
      <c r="G154" s="11">
        <f t="shared" ca="1" si="24"/>
        <v>255870.61499999999</v>
      </c>
      <c r="H154" s="23"/>
    </row>
    <row r="155" spans="1:16" ht="15" x14ac:dyDescent="0.2">
      <c r="A155" s="11" t="s">
        <v>634</v>
      </c>
      <c r="B155" s="416">
        <v>3</v>
      </c>
      <c r="C155" s="416">
        <v>3</v>
      </c>
      <c r="E155" s="1086">
        <f ca="1">H153*B155</f>
        <v>59136</v>
      </c>
      <c r="F155" s="23">
        <f ca="1">H156*C155</f>
        <v>17548.5</v>
      </c>
      <c r="G155" s="11">
        <f t="shared" ca="1" si="24"/>
        <v>76684.5</v>
      </c>
      <c r="H155" s="23" t="s">
        <v>1</v>
      </c>
    </row>
    <row r="156" spans="1:16" ht="15" x14ac:dyDescent="0.2">
      <c r="A156" s="11" t="s">
        <v>635</v>
      </c>
      <c r="B156" s="416">
        <v>21.14</v>
      </c>
      <c r="C156" s="416">
        <v>21.14</v>
      </c>
      <c r="E156" s="1086">
        <f ca="1">H153*B156</f>
        <v>416711.67999999999</v>
      </c>
      <c r="F156" s="23">
        <f ca="1">H156*C156</f>
        <v>123658.43000000001</v>
      </c>
      <c r="G156" s="11">
        <f t="shared" ca="1" si="24"/>
        <v>540370.11</v>
      </c>
      <c r="H156" s="23">
        <f ca="1">K101+L101</f>
        <v>5849.5</v>
      </c>
    </row>
    <row r="157" spans="1:16" ht="15" x14ac:dyDescent="0.2">
      <c r="A157" s="11" t="s">
        <v>638</v>
      </c>
      <c r="B157" s="416">
        <f>11.93</f>
        <v>11.93</v>
      </c>
      <c r="C157" s="416">
        <v>11.93</v>
      </c>
      <c r="E157" s="1086">
        <f ca="1">H153*B157</f>
        <v>235164.16</v>
      </c>
      <c r="F157" s="23">
        <f ca="1">H156*C157</f>
        <v>69784.535000000003</v>
      </c>
      <c r="G157" s="11">
        <f t="shared" ca="1" si="24"/>
        <v>304948.69500000001</v>
      </c>
      <c r="H157" s="1087"/>
    </row>
    <row r="158" spans="1:16" ht="15" x14ac:dyDescent="0.2">
      <c r="A158" s="11" t="s">
        <v>636</v>
      </c>
      <c r="B158" s="416">
        <f>9.31+1.56+4.29+6.73</f>
        <v>21.89</v>
      </c>
      <c r="C158" s="416">
        <f>9.31+1.56+5.93</f>
        <v>16.8</v>
      </c>
      <c r="E158" s="1086">
        <f ca="1">H153*B158</f>
        <v>431495.67999999999</v>
      </c>
      <c r="F158" s="23">
        <f ca="1">H156*C158</f>
        <v>98271.6</v>
      </c>
      <c r="G158" s="11">
        <f t="shared" ca="1" si="24"/>
        <v>529767.28</v>
      </c>
      <c r="H158" s="1087"/>
    </row>
    <row r="159" spans="1:16" ht="15" x14ac:dyDescent="0.2">
      <c r="A159" s="11" t="s">
        <v>637</v>
      </c>
      <c r="B159" s="416">
        <v>1.39</v>
      </c>
      <c r="C159" s="416">
        <v>1.39</v>
      </c>
      <c r="E159" s="1086">
        <f ca="1">H153*B159</f>
        <v>27399.679999999997</v>
      </c>
      <c r="F159" s="23">
        <f ca="1">H156*C159</f>
        <v>8130.8049999999994</v>
      </c>
      <c r="G159" s="11">
        <f t="shared" ca="1" si="24"/>
        <v>35530.484999999993</v>
      </c>
      <c r="H159" s="1087"/>
    </row>
    <row r="160" spans="1:16" x14ac:dyDescent="0.2">
      <c r="B160" s="1091">
        <f>SUM(B152:B159)</f>
        <v>78.86999999999999</v>
      </c>
      <c r="C160" s="1091">
        <f>SUM(C152:C159)</f>
        <v>73.78</v>
      </c>
      <c r="E160" s="1086">
        <f ca="1">SUM(E152:E159)</f>
        <v>1554685.4399999997</v>
      </c>
      <c r="F160" s="23">
        <f ca="1">SUM(F152:F159)</f>
        <v>431576.10999999993</v>
      </c>
      <c r="G160" s="11">
        <f t="shared" ca="1" si="24"/>
        <v>1986261.5499999996</v>
      </c>
      <c r="H160" s="11">
        <f ca="1">SUM(H153:H159)</f>
        <v>25561.5</v>
      </c>
    </row>
    <row r="161" spans="2:13" x14ac:dyDescent="0.2">
      <c r="E161" s="1092"/>
      <c r="F161" s="1093"/>
      <c r="G161" s="1093"/>
      <c r="H161" s="1094"/>
    </row>
    <row r="165" spans="2:13" x14ac:dyDescent="0.2">
      <c r="B165" s="2">
        <v>1</v>
      </c>
      <c r="C165" s="11">
        <v>2</v>
      </c>
      <c r="D165" s="2">
        <v>3</v>
      </c>
      <c r="E165" s="11">
        <v>4</v>
      </c>
      <c r="F165" s="2">
        <v>5</v>
      </c>
      <c r="G165" s="11">
        <v>6</v>
      </c>
      <c r="H165" s="2">
        <v>7</v>
      </c>
      <c r="I165" s="11">
        <v>8</v>
      </c>
      <c r="J165" s="2">
        <v>9</v>
      </c>
      <c r="K165" s="11">
        <v>10</v>
      </c>
      <c r="L165" s="2">
        <v>11</v>
      </c>
      <c r="M165" s="11">
        <v>12</v>
      </c>
    </row>
    <row r="184" spans="1:2" x14ac:dyDescent="0.2">
      <c r="A184" s="79" t="s">
        <v>249</v>
      </c>
      <c r="B184" s="79">
        <v>206189</v>
      </c>
    </row>
    <row r="185" spans="1:2" x14ac:dyDescent="0.2">
      <c r="A185" s="1158" t="s">
        <v>10</v>
      </c>
      <c r="B185" s="94">
        <v>2012</v>
      </c>
    </row>
    <row r="186" spans="1:2" x14ac:dyDescent="0.2">
      <c r="A186" s="1158" t="s">
        <v>73</v>
      </c>
      <c r="B186" s="94">
        <v>5414</v>
      </c>
    </row>
    <row r="187" spans="1:2" x14ac:dyDescent="0.2">
      <c r="A187" s="1158" t="s">
        <v>912</v>
      </c>
      <c r="B187" s="94">
        <v>4000</v>
      </c>
    </row>
    <row r="188" spans="1:2" x14ac:dyDescent="0.2">
      <c r="A188" s="79" t="s">
        <v>11</v>
      </c>
      <c r="B188" s="79">
        <v>2443</v>
      </c>
    </row>
    <row r="189" spans="1:2" x14ac:dyDescent="0.2">
      <c r="A189" s="1158" t="s">
        <v>94</v>
      </c>
      <c r="B189" s="94">
        <v>2442</v>
      </c>
    </row>
    <row r="190" spans="1:2" x14ac:dyDescent="0.2">
      <c r="A190" s="80" t="s">
        <v>252</v>
      </c>
      <c r="B190" s="80" t="s">
        <v>253</v>
      </c>
    </row>
    <row r="191" spans="1:2" x14ac:dyDescent="0.2">
      <c r="A191" s="79" t="s">
        <v>13</v>
      </c>
      <c r="B191" s="79">
        <v>2629</v>
      </c>
    </row>
    <row r="192" spans="1:2" x14ac:dyDescent="0.2">
      <c r="A192" s="1158" t="s">
        <v>14</v>
      </c>
      <c r="B192" s="94">
        <v>2509</v>
      </c>
    </row>
    <row r="193" spans="1:2" x14ac:dyDescent="0.2">
      <c r="A193" s="79" t="s">
        <v>2</v>
      </c>
      <c r="B193" s="79">
        <v>1014</v>
      </c>
    </row>
    <row r="194" spans="1:2" x14ac:dyDescent="0.2">
      <c r="A194" s="1158" t="s">
        <v>15</v>
      </c>
      <c r="B194" s="94">
        <v>2005</v>
      </c>
    </row>
    <row r="195" spans="1:2" x14ac:dyDescent="0.2">
      <c r="A195" s="79" t="s">
        <v>16</v>
      </c>
      <c r="B195" s="79">
        <v>2464</v>
      </c>
    </row>
    <row r="196" spans="1:2" x14ac:dyDescent="0.2">
      <c r="A196" s="661" t="s">
        <v>763</v>
      </c>
      <c r="B196" s="697" t="s">
        <v>765</v>
      </c>
    </row>
    <row r="197" spans="1:2" x14ac:dyDescent="0.2">
      <c r="A197" s="79" t="s">
        <v>17</v>
      </c>
      <c r="B197" s="79">
        <v>2004</v>
      </c>
    </row>
    <row r="198" spans="1:2" x14ac:dyDescent="0.2">
      <c r="A198" s="79" t="s">
        <v>18</v>
      </c>
      <c r="B198" s="79">
        <v>2405</v>
      </c>
    </row>
    <row r="199" spans="1:2" x14ac:dyDescent="0.2">
      <c r="A199" s="79" t="s">
        <v>254</v>
      </c>
      <c r="B199" s="79" t="s">
        <v>256</v>
      </c>
    </row>
    <row r="200" spans="1:2" ht="15" x14ac:dyDescent="0.25">
      <c r="A200" s="1160" t="s">
        <v>261</v>
      </c>
      <c r="B200" s="1162" t="s">
        <v>766</v>
      </c>
    </row>
    <row r="201" spans="1:2" x14ac:dyDescent="0.2">
      <c r="A201" s="1163" t="s">
        <v>257</v>
      </c>
      <c r="B201" s="1164" t="s">
        <v>258</v>
      </c>
    </row>
    <row r="202" spans="1:2" x14ac:dyDescent="0.2">
      <c r="A202" s="1160" t="s">
        <v>259</v>
      </c>
      <c r="B202" s="1165" t="s">
        <v>260</v>
      </c>
    </row>
    <row r="203" spans="1:2" x14ac:dyDescent="0.2">
      <c r="A203" s="79" t="s">
        <v>19</v>
      </c>
      <c r="B203" s="79">
        <v>2011</v>
      </c>
    </row>
    <row r="204" spans="1:2" x14ac:dyDescent="0.2">
      <c r="A204" s="80" t="s">
        <v>262</v>
      </c>
      <c r="B204" s="80" t="s">
        <v>263</v>
      </c>
    </row>
    <row r="205" spans="1:2" x14ac:dyDescent="0.2">
      <c r="A205" s="79" t="s">
        <v>20</v>
      </c>
      <c r="B205" s="79">
        <v>5201</v>
      </c>
    </row>
    <row r="206" spans="1:2" x14ac:dyDescent="0.2">
      <c r="A206" s="79" t="s">
        <v>264</v>
      </c>
      <c r="B206" s="79">
        <v>206124</v>
      </c>
    </row>
    <row r="207" spans="1:2" x14ac:dyDescent="0.2">
      <c r="A207" s="79" t="s">
        <v>21</v>
      </c>
      <c r="B207" s="79">
        <v>2433</v>
      </c>
    </row>
    <row r="208" spans="1:2" x14ac:dyDescent="0.2">
      <c r="A208" s="1158" t="s">
        <v>22</v>
      </c>
      <c r="B208" s="94">
        <v>2432</v>
      </c>
    </row>
    <row r="209" spans="1:2" x14ac:dyDescent="0.2">
      <c r="A209" s="79" t="s">
        <v>267</v>
      </c>
      <c r="B209" s="79" t="s">
        <v>269</v>
      </c>
    </row>
    <row r="210" spans="1:2" x14ac:dyDescent="0.2">
      <c r="A210" s="79" t="s">
        <v>199</v>
      </c>
      <c r="B210" s="79">
        <v>2447</v>
      </c>
    </row>
    <row r="211" spans="1:2" x14ac:dyDescent="0.2">
      <c r="A211" s="79" t="s">
        <v>23</v>
      </c>
      <c r="B211" s="79">
        <v>2512</v>
      </c>
    </row>
    <row r="212" spans="1:2" x14ac:dyDescent="0.2">
      <c r="A212" s="79" t="s">
        <v>270</v>
      </c>
      <c r="B212" s="79">
        <v>206126</v>
      </c>
    </row>
    <row r="213" spans="1:2" x14ac:dyDescent="0.2">
      <c r="A213" s="79" t="s">
        <v>272</v>
      </c>
      <c r="B213" s="79">
        <v>206111</v>
      </c>
    </row>
    <row r="214" spans="1:2" x14ac:dyDescent="0.2">
      <c r="A214" s="79" t="s">
        <v>274</v>
      </c>
      <c r="B214" s="79">
        <v>206091</v>
      </c>
    </row>
    <row r="215" spans="1:2" x14ac:dyDescent="0.2">
      <c r="A215" s="79" t="s">
        <v>24</v>
      </c>
      <c r="B215" s="79">
        <v>2456</v>
      </c>
    </row>
    <row r="216" spans="1:2" x14ac:dyDescent="0.2">
      <c r="A216" s="79" t="s">
        <v>3</v>
      </c>
      <c r="B216" s="79">
        <v>1017</v>
      </c>
    </row>
    <row r="217" spans="1:2" x14ac:dyDescent="0.2">
      <c r="A217" s="79" t="s">
        <v>25</v>
      </c>
      <c r="B217" s="79">
        <v>2449</v>
      </c>
    </row>
    <row r="218" spans="1:2" x14ac:dyDescent="0.2">
      <c r="A218" s="1158" t="s">
        <v>26</v>
      </c>
      <c r="B218" s="79">
        <v>2448</v>
      </c>
    </row>
    <row r="219" spans="1:2" x14ac:dyDescent="0.2">
      <c r="A219" s="79" t="s">
        <v>4</v>
      </c>
      <c r="B219" s="79">
        <v>1006</v>
      </c>
    </row>
    <row r="220" spans="1:2" x14ac:dyDescent="0.2">
      <c r="A220" s="79" t="s">
        <v>27</v>
      </c>
      <c r="B220" s="79">
        <v>2467</v>
      </c>
    </row>
    <row r="221" spans="1:2" x14ac:dyDescent="0.2">
      <c r="A221" s="1158" t="s">
        <v>75</v>
      </c>
      <c r="B221" s="94">
        <v>5402</v>
      </c>
    </row>
    <row r="222" spans="1:2" x14ac:dyDescent="0.2">
      <c r="A222" s="1158" t="s">
        <v>28</v>
      </c>
      <c r="B222" s="94">
        <v>2455</v>
      </c>
    </row>
    <row r="223" spans="1:2" x14ac:dyDescent="0.2">
      <c r="A223" s="1158" t="s">
        <v>29</v>
      </c>
      <c r="B223" s="94">
        <v>5203</v>
      </c>
    </row>
    <row r="224" spans="1:2" x14ac:dyDescent="0.2">
      <c r="A224" s="107" t="s">
        <v>30</v>
      </c>
      <c r="B224" s="79">
        <v>2451</v>
      </c>
    </row>
    <row r="225" spans="1:2" x14ac:dyDescent="0.2">
      <c r="A225" s="80" t="s">
        <v>276</v>
      </c>
      <c r="B225" s="80" t="s">
        <v>277</v>
      </c>
    </row>
    <row r="226" spans="1:2" x14ac:dyDescent="0.2">
      <c r="A226" s="79" t="s">
        <v>278</v>
      </c>
      <c r="B226" s="79">
        <v>206128</v>
      </c>
    </row>
    <row r="227" spans="1:2" x14ac:dyDescent="0.2">
      <c r="A227" s="1158" t="s">
        <v>452</v>
      </c>
      <c r="B227" s="94">
        <v>4002</v>
      </c>
    </row>
    <row r="228" spans="1:2" x14ac:dyDescent="0.2">
      <c r="A228" s="456" t="s">
        <v>455</v>
      </c>
      <c r="B228" s="79">
        <v>2430</v>
      </c>
    </row>
    <row r="229" spans="1:2" x14ac:dyDescent="0.2">
      <c r="A229" s="1167" t="s">
        <v>768</v>
      </c>
      <c r="B229" s="1169" t="s">
        <v>769</v>
      </c>
    </row>
    <row r="230" spans="1:2" x14ac:dyDescent="0.2">
      <c r="A230" s="1158" t="s">
        <v>68</v>
      </c>
      <c r="B230" s="94">
        <v>4608</v>
      </c>
    </row>
    <row r="231" spans="1:2" x14ac:dyDescent="0.2">
      <c r="A231" s="1158" t="s">
        <v>31</v>
      </c>
      <c r="B231" s="94">
        <v>2409</v>
      </c>
    </row>
    <row r="232" spans="1:2" x14ac:dyDescent="0.2">
      <c r="A232" s="1170" t="s">
        <v>281</v>
      </c>
      <c r="B232" s="1168" t="s">
        <v>282</v>
      </c>
    </row>
    <row r="233" spans="1:2" x14ac:dyDescent="0.2">
      <c r="A233" s="1171" t="s">
        <v>1401</v>
      </c>
      <c r="B233" s="1173" t="s">
        <v>771</v>
      </c>
    </row>
    <row r="234" spans="1:2" x14ac:dyDescent="0.2">
      <c r="A234" s="1174" t="s">
        <v>539</v>
      </c>
      <c r="B234" s="96">
        <v>205921</v>
      </c>
    </row>
    <row r="235" spans="1:2" x14ac:dyDescent="0.2">
      <c r="A235" s="1171" t="s">
        <v>1372</v>
      </c>
      <c r="B235" s="1154" t="s">
        <v>776</v>
      </c>
    </row>
    <row r="236" spans="1:2" x14ac:dyDescent="0.2">
      <c r="A236" s="1174" t="s">
        <v>538</v>
      </c>
      <c r="B236" s="96">
        <v>205999</v>
      </c>
    </row>
    <row r="237" spans="1:2" x14ac:dyDescent="0.2">
      <c r="A237" s="96" t="s">
        <v>537</v>
      </c>
      <c r="B237" s="95" t="s">
        <v>283</v>
      </c>
    </row>
    <row r="238" spans="1:2" x14ac:dyDescent="0.2">
      <c r="A238" s="1171" t="s">
        <v>1373</v>
      </c>
      <c r="B238" s="1153">
        <v>206065</v>
      </c>
    </row>
    <row r="239" spans="1:2" x14ac:dyDescent="0.2">
      <c r="A239" s="1175" t="s">
        <v>1375</v>
      </c>
      <c r="B239" s="1154" t="s">
        <v>787</v>
      </c>
    </row>
    <row r="240" spans="1:2" x14ac:dyDescent="0.2">
      <c r="A240" s="456" t="s">
        <v>589</v>
      </c>
      <c r="B240" s="1176" t="s">
        <v>288</v>
      </c>
    </row>
    <row r="241" spans="1:2" x14ac:dyDescent="0.2">
      <c r="A241" s="1177" t="s">
        <v>540</v>
      </c>
      <c r="B241" s="96">
        <v>205922</v>
      </c>
    </row>
    <row r="242" spans="1:2" x14ac:dyDescent="0.2">
      <c r="A242" s="456" t="s">
        <v>587</v>
      </c>
      <c r="B242" s="1154" t="s">
        <v>784</v>
      </c>
    </row>
    <row r="243" spans="1:2" x14ac:dyDescent="0.2">
      <c r="A243" s="1171" t="s">
        <v>1374</v>
      </c>
      <c r="B243" s="1154" t="s">
        <v>781</v>
      </c>
    </row>
    <row r="244" spans="1:2" x14ac:dyDescent="0.2">
      <c r="A244" s="1171" t="s">
        <v>1376</v>
      </c>
      <c r="B244" s="1178">
        <v>205919</v>
      </c>
    </row>
    <row r="245" spans="1:2" x14ac:dyDescent="0.2">
      <c r="A245" s="96" t="s">
        <v>541</v>
      </c>
      <c r="B245" s="95" t="s">
        <v>287</v>
      </c>
    </row>
    <row r="246" spans="1:2" x14ac:dyDescent="0.2">
      <c r="A246" s="1171" t="s">
        <v>1377</v>
      </c>
      <c r="B246" s="1179" t="s">
        <v>791</v>
      </c>
    </row>
    <row r="247" spans="1:2" x14ac:dyDescent="0.2">
      <c r="A247" s="1171" t="s">
        <v>1378</v>
      </c>
      <c r="B247" s="1169" t="s">
        <v>793</v>
      </c>
    </row>
    <row r="248" spans="1:2" x14ac:dyDescent="0.2">
      <c r="A248" s="1180" t="s">
        <v>1380</v>
      </c>
      <c r="B248" s="1154" t="s">
        <v>796</v>
      </c>
    </row>
    <row r="249" spans="1:2" x14ac:dyDescent="0.2">
      <c r="A249" s="1181" t="s">
        <v>1379</v>
      </c>
      <c r="B249" s="697">
        <v>205849</v>
      </c>
    </row>
    <row r="250" spans="1:2" x14ac:dyDescent="0.2">
      <c r="A250" s="456" t="s">
        <v>594</v>
      </c>
      <c r="B250" s="1176" t="s">
        <v>284</v>
      </c>
    </row>
    <row r="251" spans="1:2" x14ac:dyDescent="0.2">
      <c r="A251" s="1182" t="s">
        <v>1381</v>
      </c>
      <c r="B251" s="1154" t="s">
        <v>798</v>
      </c>
    </row>
    <row r="252" spans="1:2" x14ac:dyDescent="0.2">
      <c r="A252" s="1183" t="s">
        <v>1385</v>
      </c>
      <c r="B252" s="1184">
        <v>205922</v>
      </c>
    </row>
    <row r="253" spans="1:2" x14ac:dyDescent="0.2">
      <c r="A253" s="1185" t="s">
        <v>1384</v>
      </c>
      <c r="B253" s="1179">
        <v>205881</v>
      </c>
    </row>
    <row r="254" spans="1:2" x14ac:dyDescent="0.2">
      <c r="A254" s="1186" t="s">
        <v>1382</v>
      </c>
      <c r="B254" s="1187" t="s">
        <v>801</v>
      </c>
    </row>
    <row r="255" spans="1:2" x14ac:dyDescent="0.2">
      <c r="A255" s="1174" t="s">
        <v>542</v>
      </c>
      <c r="B255" s="96" t="s">
        <v>289</v>
      </c>
    </row>
    <row r="256" spans="1:2" x14ac:dyDescent="0.2">
      <c r="A256" s="1171" t="s">
        <v>1383</v>
      </c>
      <c r="B256" s="1179" t="s">
        <v>806</v>
      </c>
    </row>
    <row r="257" spans="1:2" x14ac:dyDescent="0.2">
      <c r="A257" s="1185" t="s">
        <v>807</v>
      </c>
      <c r="B257" s="1179" t="s">
        <v>808</v>
      </c>
    </row>
    <row r="258" spans="1:2" x14ac:dyDescent="0.2">
      <c r="A258" s="1185" t="s">
        <v>1386</v>
      </c>
      <c r="B258" s="1189" t="s">
        <v>811</v>
      </c>
    </row>
    <row r="259" spans="1:2" x14ac:dyDescent="0.2">
      <c r="A259" s="1181" t="s">
        <v>543</v>
      </c>
      <c r="B259" s="96">
        <v>2</v>
      </c>
    </row>
    <row r="260" spans="1:2" x14ac:dyDescent="0.2">
      <c r="A260" s="1192" t="s">
        <v>1387</v>
      </c>
      <c r="B260" s="1150" t="s">
        <v>668</v>
      </c>
    </row>
    <row r="261" spans="1:2" x14ac:dyDescent="0.2">
      <c r="A261" s="693" t="s">
        <v>1388</v>
      </c>
      <c r="B261" s="1179" t="s">
        <v>686</v>
      </c>
    </row>
    <row r="262" spans="1:2" x14ac:dyDescent="0.2">
      <c r="A262" s="96" t="s">
        <v>544</v>
      </c>
      <c r="B262" s="1184">
        <v>205956</v>
      </c>
    </row>
    <row r="263" spans="1:2" x14ac:dyDescent="0.2">
      <c r="A263" s="702" t="s">
        <v>1389</v>
      </c>
      <c r="B263" s="1169">
        <v>260849</v>
      </c>
    </row>
    <row r="264" spans="1:2" x14ac:dyDescent="0.2">
      <c r="A264" s="693" t="s">
        <v>1390</v>
      </c>
      <c r="B264" s="1169" t="s">
        <v>818</v>
      </c>
    </row>
    <row r="265" spans="1:2" x14ac:dyDescent="0.2">
      <c r="A265" s="1193" t="s">
        <v>1391</v>
      </c>
      <c r="B265" s="1165" t="s">
        <v>291</v>
      </c>
    </row>
    <row r="266" spans="1:2" x14ac:dyDescent="0.2">
      <c r="A266" s="1145" t="s">
        <v>1392</v>
      </c>
      <c r="B266" s="1154" t="s">
        <v>821</v>
      </c>
    </row>
    <row r="267" spans="1:2" x14ac:dyDescent="0.2">
      <c r="A267" s="1142" t="s">
        <v>1394</v>
      </c>
      <c r="B267" s="1154" t="s">
        <v>825</v>
      </c>
    </row>
    <row r="268" spans="1:2" x14ac:dyDescent="0.2">
      <c r="A268" s="1142" t="s">
        <v>1393</v>
      </c>
      <c r="B268" s="1189" t="s">
        <v>823</v>
      </c>
    </row>
    <row r="269" spans="1:2" x14ac:dyDescent="0.2">
      <c r="A269" s="583" t="s">
        <v>1396</v>
      </c>
      <c r="B269" s="1154" t="s">
        <v>830</v>
      </c>
    </row>
    <row r="270" spans="1:2" x14ac:dyDescent="0.2">
      <c r="A270" s="1143" t="s">
        <v>1395</v>
      </c>
      <c r="B270" s="1154" t="s">
        <v>827</v>
      </c>
    </row>
    <row r="271" spans="1:2" x14ac:dyDescent="0.2">
      <c r="A271" s="1181" t="s">
        <v>591</v>
      </c>
      <c r="B271" s="95" t="s">
        <v>293</v>
      </c>
    </row>
    <row r="272" spans="1:2" x14ac:dyDescent="0.2">
      <c r="A272" s="1142" t="s">
        <v>1402</v>
      </c>
      <c r="B272" s="697" t="s">
        <v>833</v>
      </c>
    </row>
    <row r="273" spans="1:2" x14ac:dyDescent="0.2">
      <c r="A273" s="1142" t="s">
        <v>1403</v>
      </c>
      <c r="B273" s="1154" t="s">
        <v>835</v>
      </c>
    </row>
    <row r="274" spans="1:2" x14ac:dyDescent="0.2">
      <c r="A274" s="1174" t="s">
        <v>547</v>
      </c>
      <c r="B274" s="95" t="s">
        <v>295</v>
      </c>
    </row>
    <row r="275" spans="1:2" x14ac:dyDescent="0.2">
      <c r="A275" s="1148" t="s">
        <v>1397</v>
      </c>
      <c r="B275" s="1154">
        <v>206031</v>
      </c>
    </row>
    <row r="276" spans="1:2" x14ac:dyDescent="0.2">
      <c r="A276" s="1174" t="s">
        <v>546</v>
      </c>
      <c r="B276" s="95" t="s">
        <v>296</v>
      </c>
    </row>
    <row r="277" spans="1:2" x14ac:dyDescent="0.2">
      <c r="A277" s="96" t="s">
        <v>545</v>
      </c>
      <c r="B277" s="95" t="s">
        <v>294</v>
      </c>
    </row>
    <row r="278" spans="1:2" x14ac:dyDescent="0.2">
      <c r="A278" s="1143" t="s">
        <v>1398</v>
      </c>
      <c r="B278" s="1154" t="s">
        <v>840</v>
      </c>
    </row>
    <row r="279" spans="1:2" x14ac:dyDescent="0.2">
      <c r="A279" s="96" t="s">
        <v>1371</v>
      </c>
      <c r="B279" s="95" t="s">
        <v>298</v>
      </c>
    </row>
    <row r="280" spans="1:2" x14ac:dyDescent="0.2">
      <c r="A280" s="1143" t="s">
        <v>1407</v>
      </c>
      <c r="B280" s="1179" t="s">
        <v>844</v>
      </c>
    </row>
    <row r="281" spans="1:2" x14ac:dyDescent="0.2">
      <c r="A281" s="1181" t="s">
        <v>592</v>
      </c>
      <c r="B281" s="1184">
        <v>206043</v>
      </c>
    </row>
    <row r="282" spans="1:2" x14ac:dyDescent="0.2">
      <c r="A282" s="1177" t="s">
        <v>548</v>
      </c>
      <c r="B282" s="95" t="s">
        <v>299</v>
      </c>
    </row>
    <row r="283" spans="1:2" x14ac:dyDescent="0.2">
      <c r="A283" s="1194" t="s">
        <v>590</v>
      </c>
      <c r="B283" s="1195" t="s">
        <v>292</v>
      </c>
    </row>
    <row r="284" spans="1:2" x14ac:dyDescent="0.2">
      <c r="A284" s="1196" t="s">
        <v>593</v>
      </c>
      <c r="B284" s="1197" t="s">
        <v>297</v>
      </c>
    </row>
    <row r="285" spans="1:2" x14ac:dyDescent="0.2">
      <c r="A285" s="1143" t="s">
        <v>1406</v>
      </c>
      <c r="B285" s="1154">
        <v>206067</v>
      </c>
    </row>
    <row r="286" spans="1:2" ht="15" x14ac:dyDescent="0.2">
      <c r="A286" s="1177" t="s">
        <v>549</v>
      </c>
      <c r="B286" s="97" t="s">
        <v>300</v>
      </c>
    </row>
    <row r="287" spans="1:2" x14ac:dyDescent="0.2">
      <c r="A287" s="1190" t="s">
        <v>1400</v>
      </c>
      <c r="B287" s="1191" t="s">
        <v>290</v>
      </c>
    </row>
    <row r="288" spans="1:2" x14ac:dyDescent="0.2">
      <c r="A288" s="1198" t="s">
        <v>550</v>
      </c>
      <c r="B288" s="98" t="s">
        <v>301</v>
      </c>
    </row>
    <row r="289" spans="1:2" x14ac:dyDescent="0.2">
      <c r="A289" s="1147" t="s">
        <v>1404</v>
      </c>
      <c r="B289" s="1209" t="s">
        <v>854</v>
      </c>
    </row>
    <row r="290" spans="1:2" x14ac:dyDescent="0.2">
      <c r="A290" s="456" t="s">
        <v>595</v>
      </c>
      <c r="B290" s="1176" t="s">
        <v>285</v>
      </c>
    </row>
    <row r="291" spans="1:2" x14ac:dyDescent="0.2">
      <c r="A291" s="1147" t="s">
        <v>1405</v>
      </c>
      <c r="B291" s="1209" t="s">
        <v>856</v>
      </c>
    </row>
    <row r="292" spans="1:2" x14ac:dyDescent="0.2">
      <c r="A292" s="87" t="s">
        <v>302</v>
      </c>
      <c r="B292" s="88" t="s">
        <v>303</v>
      </c>
    </row>
    <row r="293" spans="1:2" x14ac:dyDescent="0.2">
      <c r="A293" s="79" t="s">
        <v>304</v>
      </c>
      <c r="B293" s="79" t="s">
        <v>306</v>
      </c>
    </row>
    <row r="294" spans="1:2" x14ac:dyDescent="0.2">
      <c r="A294" s="1144" t="s">
        <v>858</v>
      </c>
      <c r="B294" s="1169" t="s">
        <v>859</v>
      </c>
    </row>
    <row r="295" spans="1:2" x14ac:dyDescent="0.2">
      <c r="A295" s="1158" t="s">
        <v>111</v>
      </c>
      <c r="B295" s="94">
        <v>4178</v>
      </c>
    </row>
    <row r="296" spans="1:2" x14ac:dyDescent="0.2">
      <c r="A296" s="1158" t="s">
        <v>98</v>
      </c>
      <c r="B296" s="94">
        <v>3158</v>
      </c>
    </row>
    <row r="297" spans="1:2" x14ac:dyDescent="0.2">
      <c r="A297" s="79" t="s">
        <v>32</v>
      </c>
      <c r="B297" s="79">
        <v>2619</v>
      </c>
    </row>
    <row r="298" spans="1:2" x14ac:dyDescent="0.2">
      <c r="A298" s="1141" t="s">
        <v>860</v>
      </c>
      <c r="B298" s="1154" t="s">
        <v>861</v>
      </c>
    </row>
    <row r="299" spans="1:2" x14ac:dyDescent="0.2">
      <c r="A299" s="79" t="s">
        <v>307</v>
      </c>
      <c r="B299" s="80" t="s">
        <v>308</v>
      </c>
    </row>
    <row r="300" spans="1:2" x14ac:dyDescent="0.2">
      <c r="A300" s="79" t="s">
        <v>309</v>
      </c>
      <c r="B300" s="79">
        <v>258417</v>
      </c>
    </row>
    <row r="301" spans="1:2" x14ac:dyDescent="0.2">
      <c r="A301" s="79" t="s">
        <v>311</v>
      </c>
      <c r="B301" s="79" t="s">
        <v>313</v>
      </c>
    </row>
    <row r="302" spans="1:2" x14ac:dyDescent="0.2">
      <c r="A302" s="79" t="s">
        <v>314</v>
      </c>
      <c r="B302" s="79" t="s">
        <v>316</v>
      </c>
    </row>
    <row r="303" spans="1:2" x14ac:dyDescent="0.2">
      <c r="A303" s="79" t="s">
        <v>33</v>
      </c>
      <c r="B303" s="79">
        <v>2518</v>
      </c>
    </row>
    <row r="304" spans="1:2" x14ac:dyDescent="0.2">
      <c r="A304" s="1141" t="s">
        <v>862</v>
      </c>
      <c r="B304" s="1210" t="s">
        <v>863</v>
      </c>
    </row>
    <row r="305" spans="1:2" x14ac:dyDescent="0.2">
      <c r="A305" s="79" t="s">
        <v>317</v>
      </c>
      <c r="B305" s="79">
        <v>206106</v>
      </c>
    </row>
    <row r="306" spans="1:2" x14ac:dyDescent="0.2">
      <c r="A306" s="80" t="s">
        <v>319</v>
      </c>
      <c r="B306" s="80" t="s">
        <v>320</v>
      </c>
    </row>
    <row r="307" spans="1:2" x14ac:dyDescent="0.2">
      <c r="A307" s="1144" t="s">
        <v>864</v>
      </c>
      <c r="B307" s="1169" t="s">
        <v>865</v>
      </c>
    </row>
    <row r="308" spans="1:2" x14ac:dyDescent="0.2">
      <c r="A308" s="1158" t="s">
        <v>34</v>
      </c>
      <c r="B308" s="94">
        <v>2457</v>
      </c>
    </row>
    <row r="309" spans="1:2" x14ac:dyDescent="0.2">
      <c r="A309" s="1158" t="s">
        <v>99</v>
      </c>
      <c r="B309" s="79">
        <v>2010</v>
      </c>
    </row>
    <row r="310" spans="1:2" x14ac:dyDescent="0.2">
      <c r="A310" s="79" t="s">
        <v>35</v>
      </c>
      <c r="B310" s="79">
        <v>2002</v>
      </c>
    </row>
    <row r="311" spans="1:2" x14ac:dyDescent="0.2">
      <c r="A311" s="79" t="s">
        <v>36</v>
      </c>
      <c r="B311" s="79">
        <v>3544</v>
      </c>
    </row>
    <row r="312" spans="1:2" x14ac:dyDescent="0.2">
      <c r="A312" s="79" t="s">
        <v>5</v>
      </c>
      <c r="B312" s="79">
        <v>1008</v>
      </c>
    </row>
    <row r="313" spans="1:2" x14ac:dyDescent="0.2">
      <c r="A313" s="79" t="s">
        <v>321</v>
      </c>
      <c r="B313" s="79" t="s">
        <v>322</v>
      </c>
    </row>
    <row r="314" spans="1:2" x14ac:dyDescent="0.2">
      <c r="A314" s="79" t="s">
        <v>100</v>
      </c>
      <c r="B314" s="79">
        <v>2006</v>
      </c>
    </row>
    <row r="315" spans="1:2" x14ac:dyDescent="0.2">
      <c r="A315" s="80" t="s">
        <v>323</v>
      </c>
      <c r="B315" s="80" t="s">
        <v>324</v>
      </c>
    </row>
    <row r="316" spans="1:2" x14ac:dyDescent="0.2">
      <c r="A316" s="79" t="s">
        <v>325</v>
      </c>
      <c r="B316" s="79">
        <v>206133</v>
      </c>
    </row>
    <row r="317" spans="1:2" x14ac:dyDescent="0.2">
      <c r="A317" s="1149" t="s">
        <v>867</v>
      </c>
      <c r="B317" s="1169" t="s">
        <v>868</v>
      </c>
    </row>
    <row r="318" spans="1:2" x14ac:dyDescent="0.2">
      <c r="A318" s="79" t="s">
        <v>327</v>
      </c>
      <c r="B318" s="79" t="s">
        <v>329</v>
      </c>
    </row>
    <row r="319" spans="1:2" x14ac:dyDescent="0.2">
      <c r="A319" s="79" t="s">
        <v>330</v>
      </c>
      <c r="B319" s="79">
        <v>206134</v>
      </c>
    </row>
    <row r="320" spans="1:2" x14ac:dyDescent="0.2">
      <c r="A320" s="79" t="s">
        <v>334</v>
      </c>
      <c r="B320" s="79" t="s">
        <v>335</v>
      </c>
    </row>
    <row r="321" spans="1:2" x14ac:dyDescent="0.2">
      <c r="A321" s="1199" t="s">
        <v>332</v>
      </c>
      <c r="B321" s="1200" t="s">
        <v>333</v>
      </c>
    </row>
    <row r="322" spans="1:2" x14ac:dyDescent="0.2">
      <c r="A322" s="79" t="s">
        <v>336</v>
      </c>
      <c r="B322" s="79" t="s">
        <v>337</v>
      </c>
    </row>
    <row r="323" spans="1:2" x14ac:dyDescent="0.2">
      <c r="A323" s="79" t="s">
        <v>338</v>
      </c>
      <c r="B323" s="79">
        <v>206109</v>
      </c>
    </row>
    <row r="324" spans="1:2" x14ac:dyDescent="0.2">
      <c r="A324" s="79" t="s">
        <v>37</v>
      </c>
      <c r="B324" s="79">
        <v>2434</v>
      </c>
    </row>
    <row r="325" spans="1:2" x14ac:dyDescent="0.2">
      <c r="A325" s="1161" t="s">
        <v>597</v>
      </c>
      <c r="B325" s="147">
        <v>6905</v>
      </c>
    </row>
    <row r="326" spans="1:2" x14ac:dyDescent="0.2">
      <c r="A326" s="1158" t="s">
        <v>42</v>
      </c>
      <c r="B326" s="94">
        <v>2009</v>
      </c>
    </row>
    <row r="327" spans="1:2" x14ac:dyDescent="0.2">
      <c r="A327" s="1158" t="s">
        <v>38</v>
      </c>
      <c r="B327" s="94">
        <v>2522</v>
      </c>
    </row>
    <row r="328" spans="1:2" x14ac:dyDescent="0.2">
      <c r="A328" s="79" t="s">
        <v>340</v>
      </c>
      <c r="B328" s="79">
        <v>206110</v>
      </c>
    </row>
    <row r="329" spans="1:2" x14ac:dyDescent="0.2">
      <c r="A329" s="79" t="s">
        <v>342</v>
      </c>
      <c r="B329" s="79">
        <v>206135</v>
      </c>
    </row>
    <row r="330" spans="1:2" x14ac:dyDescent="0.2">
      <c r="A330" s="1158" t="s">
        <v>69</v>
      </c>
      <c r="B330" s="94">
        <v>4181</v>
      </c>
    </row>
    <row r="331" spans="1:2" x14ac:dyDescent="0.2">
      <c r="A331" s="79" t="s">
        <v>344</v>
      </c>
      <c r="B331" s="79">
        <v>509195</v>
      </c>
    </row>
    <row r="332" spans="1:2" x14ac:dyDescent="0.2">
      <c r="A332" s="87" t="s">
        <v>346</v>
      </c>
      <c r="B332" s="88" t="s">
        <v>347</v>
      </c>
    </row>
    <row r="333" spans="1:2" x14ac:dyDescent="0.2">
      <c r="A333" s="1201" t="s">
        <v>348</v>
      </c>
      <c r="B333" s="1202" t="s">
        <v>349</v>
      </c>
    </row>
    <row r="334" spans="1:2" x14ac:dyDescent="0.2">
      <c r="A334" s="79" t="s">
        <v>350</v>
      </c>
      <c r="B334" s="79" t="s">
        <v>352</v>
      </c>
    </row>
    <row r="335" spans="1:2" x14ac:dyDescent="0.2">
      <c r="A335" s="79" t="s">
        <v>353</v>
      </c>
      <c r="B335" s="79">
        <v>509199</v>
      </c>
    </row>
    <row r="336" spans="1:2" x14ac:dyDescent="0.2">
      <c r="A336" s="79" t="s">
        <v>355</v>
      </c>
      <c r="B336" s="79">
        <v>509197</v>
      </c>
    </row>
    <row r="337" spans="1:2" x14ac:dyDescent="0.2">
      <c r="A337" s="1151" t="s">
        <v>870</v>
      </c>
      <c r="B337" s="1211">
        <v>479383</v>
      </c>
    </row>
    <row r="338" spans="1:2" x14ac:dyDescent="0.2">
      <c r="A338" s="1170" t="s">
        <v>360</v>
      </c>
      <c r="B338" s="1168" t="s">
        <v>361</v>
      </c>
    </row>
    <row r="339" spans="1:2" x14ac:dyDescent="0.2">
      <c r="A339" s="1158" t="s">
        <v>70</v>
      </c>
      <c r="B339" s="94">
        <v>4182</v>
      </c>
    </row>
    <row r="340" spans="1:2" x14ac:dyDescent="0.2">
      <c r="A340" s="79" t="s">
        <v>357</v>
      </c>
      <c r="B340" s="79" t="s">
        <v>359</v>
      </c>
    </row>
    <row r="341" spans="1:2" x14ac:dyDescent="0.2">
      <c r="A341" s="79" t="s">
        <v>6</v>
      </c>
      <c r="B341" s="79">
        <v>1005</v>
      </c>
    </row>
    <row r="342" spans="1:2" x14ac:dyDescent="0.2">
      <c r="A342" s="489" t="s">
        <v>871</v>
      </c>
      <c r="B342" s="1179" t="s">
        <v>872</v>
      </c>
    </row>
    <row r="343" spans="1:2" x14ac:dyDescent="0.2">
      <c r="A343" s="1158" t="s">
        <v>39</v>
      </c>
      <c r="B343" s="94">
        <v>2436</v>
      </c>
    </row>
    <row r="344" spans="1:2" x14ac:dyDescent="0.2">
      <c r="A344" s="79" t="s">
        <v>362</v>
      </c>
      <c r="B344" s="79">
        <v>206117</v>
      </c>
    </row>
    <row r="345" spans="1:2" x14ac:dyDescent="0.2">
      <c r="A345" s="79" t="s">
        <v>40</v>
      </c>
      <c r="B345" s="79">
        <v>2452</v>
      </c>
    </row>
    <row r="346" spans="1:2" x14ac:dyDescent="0.2">
      <c r="A346" s="1158" t="s">
        <v>71</v>
      </c>
      <c r="B346" s="94">
        <v>4001</v>
      </c>
    </row>
    <row r="347" spans="1:2" x14ac:dyDescent="0.2">
      <c r="A347" s="79" t="s">
        <v>364</v>
      </c>
      <c r="B347" s="79">
        <v>206141</v>
      </c>
    </row>
    <row r="348" spans="1:2" x14ac:dyDescent="0.2">
      <c r="A348" s="1158" t="s">
        <v>41</v>
      </c>
      <c r="B348" s="94">
        <v>2627</v>
      </c>
    </row>
    <row r="349" spans="1:2" x14ac:dyDescent="0.2">
      <c r="A349" s="1158" t="s">
        <v>112</v>
      </c>
      <c r="B349" s="94">
        <v>5406</v>
      </c>
    </row>
    <row r="350" spans="1:2" x14ac:dyDescent="0.2">
      <c r="A350" s="1158" t="s">
        <v>113</v>
      </c>
      <c r="B350" s="94">
        <v>5407</v>
      </c>
    </row>
    <row r="351" spans="1:2" x14ac:dyDescent="0.2">
      <c r="A351" s="79" t="s">
        <v>366</v>
      </c>
      <c r="B351" s="79" t="s">
        <v>368</v>
      </c>
    </row>
    <row r="352" spans="1:2" x14ac:dyDescent="0.2">
      <c r="A352" s="79" t="s">
        <v>369</v>
      </c>
      <c r="B352" s="79">
        <v>258404</v>
      </c>
    </row>
    <row r="353" spans="1:2" x14ac:dyDescent="0.2">
      <c r="A353" s="1158" t="s">
        <v>101</v>
      </c>
      <c r="B353" s="79">
        <v>2473</v>
      </c>
    </row>
    <row r="354" spans="1:2" x14ac:dyDescent="0.2">
      <c r="A354" s="1158" t="s">
        <v>44</v>
      </c>
      <c r="B354" s="94">
        <v>2471</v>
      </c>
    </row>
    <row r="355" spans="1:2" x14ac:dyDescent="0.2">
      <c r="A355" s="79" t="s">
        <v>371</v>
      </c>
      <c r="B355" s="79">
        <v>258405</v>
      </c>
    </row>
    <row r="356" spans="1:2" x14ac:dyDescent="0.2">
      <c r="A356" s="79" t="s">
        <v>373</v>
      </c>
      <c r="B356" s="79">
        <v>258406</v>
      </c>
    </row>
    <row r="357" spans="1:2" x14ac:dyDescent="0.2">
      <c r="A357" s="79" t="s">
        <v>43</v>
      </c>
      <c r="B357" s="79">
        <v>2420</v>
      </c>
    </row>
    <row r="358" spans="1:2" x14ac:dyDescent="0.2">
      <c r="A358" s="79" t="s">
        <v>375</v>
      </c>
      <c r="B358" s="79">
        <v>206160</v>
      </c>
    </row>
    <row r="359" spans="1:2" x14ac:dyDescent="0.2">
      <c r="A359" s="79" t="s">
        <v>45</v>
      </c>
      <c r="B359" s="79">
        <v>2003</v>
      </c>
    </row>
    <row r="360" spans="1:2" x14ac:dyDescent="0.2">
      <c r="A360" s="1158" t="s">
        <v>46</v>
      </c>
      <c r="B360" s="94">
        <v>2423</v>
      </c>
    </row>
    <row r="361" spans="1:2" x14ac:dyDescent="0.2">
      <c r="A361" s="1158" t="s">
        <v>47</v>
      </c>
      <c r="B361" s="94">
        <v>2424</v>
      </c>
    </row>
    <row r="362" spans="1:2" x14ac:dyDescent="0.2">
      <c r="A362" s="79" t="s">
        <v>377</v>
      </c>
      <c r="B362" s="79" t="s">
        <v>379</v>
      </c>
    </row>
    <row r="363" spans="1:2" x14ac:dyDescent="0.2">
      <c r="A363" s="726" t="s">
        <v>873</v>
      </c>
      <c r="B363" s="1179" t="s">
        <v>874</v>
      </c>
    </row>
    <row r="364" spans="1:2" x14ac:dyDescent="0.2">
      <c r="A364" s="79" t="s">
        <v>382</v>
      </c>
      <c r="B364" s="79" t="s">
        <v>384</v>
      </c>
    </row>
    <row r="365" spans="1:2" x14ac:dyDescent="0.2">
      <c r="A365" s="79" t="s">
        <v>385</v>
      </c>
      <c r="B365" s="79">
        <v>206146</v>
      </c>
    </row>
    <row r="366" spans="1:2" x14ac:dyDescent="0.2">
      <c r="A366" s="1158" t="s">
        <v>48</v>
      </c>
      <c r="B366" s="94">
        <v>2439</v>
      </c>
    </row>
    <row r="367" spans="1:2" x14ac:dyDescent="0.2">
      <c r="A367" s="1158" t="s">
        <v>49</v>
      </c>
      <c r="B367" s="94">
        <v>2440</v>
      </c>
    </row>
    <row r="368" spans="1:2" x14ac:dyDescent="0.2">
      <c r="A368" s="80" t="s">
        <v>387</v>
      </c>
      <c r="B368" s="80" t="s">
        <v>388</v>
      </c>
    </row>
    <row r="369" spans="1:2" x14ac:dyDescent="0.2">
      <c r="A369" s="1158" t="s">
        <v>102</v>
      </c>
      <c r="B369" s="79">
        <v>2462</v>
      </c>
    </row>
    <row r="370" spans="1:2" x14ac:dyDescent="0.2">
      <c r="A370" s="1158" t="s">
        <v>50</v>
      </c>
      <c r="B370" s="94">
        <v>2463</v>
      </c>
    </row>
    <row r="371" spans="1:2" x14ac:dyDescent="0.2">
      <c r="A371" s="79" t="s">
        <v>51</v>
      </c>
      <c r="B371" s="79">
        <v>2505</v>
      </c>
    </row>
    <row r="372" spans="1:2" x14ac:dyDescent="0.2">
      <c r="A372" s="79" t="s">
        <v>52</v>
      </c>
      <c r="B372" s="79">
        <v>2000</v>
      </c>
    </row>
    <row r="373" spans="1:2" x14ac:dyDescent="0.2">
      <c r="A373" s="1158" t="s">
        <v>53</v>
      </c>
      <c r="B373" s="94">
        <v>2458</v>
      </c>
    </row>
    <row r="374" spans="1:2" x14ac:dyDescent="0.2">
      <c r="A374" s="79" t="s">
        <v>392</v>
      </c>
      <c r="B374" s="79" t="s">
        <v>394</v>
      </c>
    </row>
    <row r="375" spans="1:2" x14ac:dyDescent="0.2">
      <c r="A375" s="79" t="s">
        <v>54</v>
      </c>
      <c r="B375" s="79">
        <v>2001</v>
      </c>
    </row>
    <row r="376" spans="1:2" x14ac:dyDescent="0.2">
      <c r="A376" s="80" t="s">
        <v>395</v>
      </c>
      <c r="B376" s="80" t="s">
        <v>396</v>
      </c>
    </row>
    <row r="377" spans="1:2" x14ac:dyDescent="0.2">
      <c r="A377" s="79" t="s">
        <v>55</v>
      </c>
      <c r="B377" s="79">
        <v>2429</v>
      </c>
    </row>
    <row r="378" spans="1:2" x14ac:dyDescent="0.2">
      <c r="A378" s="79" t="s">
        <v>397</v>
      </c>
      <c r="B378" s="79">
        <v>113044</v>
      </c>
    </row>
    <row r="379" spans="1:2" x14ac:dyDescent="0.2">
      <c r="A379" s="79" t="s">
        <v>399</v>
      </c>
      <c r="B379" s="79" t="s">
        <v>401</v>
      </c>
    </row>
    <row r="380" spans="1:2" x14ac:dyDescent="0.2">
      <c r="A380" s="1158" t="s">
        <v>72</v>
      </c>
      <c r="B380" s="94">
        <v>4607</v>
      </c>
    </row>
    <row r="381" spans="1:2" x14ac:dyDescent="0.2">
      <c r="A381" s="665" t="s">
        <v>881</v>
      </c>
      <c r="B381" s="1169" t="s">
        <v>882</v>
      </c>
    </row>
    <row r="382" spans="1:2" x14ac:dyDescent="0.2">
      <c r="A382" s="726" t="s">
        <v>883</v>
      </c>
      <c r="B382" s="1154" t="s">
        <v>884</v>
      </c>
    </row>
    <row r="383" spans="1:2" x14ac:dyDescent="0.2">
      <c r="A383" s="79" t="s">
        <v>56</v>
      </c>
      <c r="B383" s="79">
        <v>2444</v>
      </c>
    </row>
    <row r="384" spans="1:2" x14ac:dyDescent="0.2">
      <c r="A384" s="1158" t="s">
        <v>57</v>
      </c>
      <c r="B384" s="94">
        <v>5209</v>
      </c>
    </row>
    <row r="385" spans="1:2" x14ac:dyDescent="0.2">
      <c r="A385" s="79" t="s">
        <v>402</v>
      </c>
      <c r="B385" s="79" t="s">
        <v>404</v>
      </c>
    </row>
    <row r="386" spans="1:2" x14ac:dyDescent="0.2">
      <c r="A386" s="79" t="s">
        <v>405</v>
      </c>
      <c r="B386" s="79" t="s">
        <v>407</v>
      </c>
    </row>
    <row r="387" spans="1:2" x14ac:dyDescent="0.2">
      <c r="A387" s="1158" t="s">
        <v>58</v>
      </c>
      <c r="B387" s="94">
        <v>2469</v>
      </c>
    </row>
    <row r="388" spans="1:2" x14ac:dyDescent="0.2">
      <c r="A388" s="79" t="s">
        <v>408</v>
      </c>
      <c r="B388" s="79" t="s">
        <v>410</v>
      </c>
    </row>
    <row r="389" spans="1:2" x14ac:dyDescent="0.2">
      <c r="A389" s="99" t="s">
        <v>411</v>
      </c>
      <c r="B389" s="99" t="s">
        <v>412</v>
      </c>
    </row>
    <row r="390" spans="1:2" x14ac:dyDescent="0.2">
      <c r="A390" s="1158" t="s">
        <v>59</v>
      </c>
      <c r="B390" s="94">
        <v>2466</v>
      </c>
    </row>
    <row r="391" spans="1:2" x14ac:dyDescent="0.2">
      <c r="A391" s="79" t="s">
        <v>60</v>
      </c>
      <c r="B391" s="79">
        <v>3543</v>
      </c>
    </row>
    <row r="392" spans="1:2" x14ac:dyDescent="0.2">
      <c r="A392" s="79" t="s">
        <v>413</v>
      </c>
      <c r="B392" s="79">
        <v>206152</v>
      </c>
    </row>
    <row r="393" spans="1:2" x14ac:dyDescent="0.2">
      <c r="A393" s="79" t="s">
        <v>415</v>
      </c>
      <c r="B393" s="79">
        <v>206153</v>
      </c>
    </row>
    <row r="394" spans="1:2" x14ac:dyDescent="0.2">
      <c r="A394" s="1158" t="s">
        <v>62</v>
      </c>
      <c r="B394" s="94">
        <v>3531</v>
      </c>
    </row>
    <row r="395" spans="1:2" x14ac:dyDescent="0.2">
      <c r="A395" s="79" t="s">
        <v>63</v>
      </c>
      <c r="B395" s="79">
        <v>3526</v>
      </c>
    </row>
    <row r="396" spans="1:2" x14ac:dyDescent="0.2">
      <c r="A396" s="1158" t="s">
        <v>104</v>
      </c>
      <c r="B396" s="94">
        <v>3535</v>
      </c>
    </row>
    <row r="397" spans="1:2" x14ac:dyDescent="0.2">
      <c r="A397" s="1203" t="s">
        <v>64</v>
      </c>
      <c r="B397" s="94">
        <v>2008</v>
      </c>
    </row>
    <row r="398" spans="1:2" x14ac:dyDescent="0.2">
      <c r="A398" s="1158" t="s">
        <v>105</v>
      </c>
      <c r="B398" s="94">
        <v>3542</v>
      </c>
    </row>
    <row r="399" spans="1:2" x14ac:dyDescent="0.2">
      <c r="A399" s="90" t="s">
        <v>417</v>
      </c>
      <c r="B399" s="79">
        <v>206154</v>
      </c>
    </row>
    <row r="400" spans="1:2" x14ac:dyDescent="0.2">
      <c r="A400" s="1158" t="s">
        <v>106</v>
      </c>
      <c r="B400" s="79">
        <v>3528</v>
      </c>
    </row>
    <row r="401" spans="1:2" x14ac:dyDescent="0.2">
      <c r="A401" s="80" t="s">
        <v>419</v>
      </c>
      <c r="B401" s="80" t="s">
        <v>420</v>
      </c>
    </row>
    <row r="402" spans="1:2" x14ac:dyDescent="0.2">
      <c r="A402" s="1158" t="s">
        <v>107</v>
      </c>
      <c r="B402" s="94">
        <v>3534</v>
      </c>
    </row>
    <row r="403" spans="1:2" x14ac:dyDescent="0.2">
      <c r="A403" s="1158" t="s">
        <v>108</v>
      </c>
      <c r="B403" s="143">
        <v>3532</v>
      </c>
    </row>
    <row r="404" spans="1:2" x14ac:dyDescent="0.2">
      <c r="A404" s="107" t="s">
        <v>7</v>
      </c>
      <c r="B404" s="79">
        <v>1010</v>
      </c>
    </row>
    <row r="405" spans="1:2" x14ac:dyDescent="0.2">
      <c r="A405" s="107" t="s">
        <v>421</v>
      </c>
      <c r="B405" s="79" t="s">
        <v>423</v>
      </c>
    </row>
    <row r="406" spans="1:2" x14ac:dyDescent="0.2">
      <c r="A406" s="1158" t="s">
        <v>114</v>
      </c>
      <c r="B406" s="94">
        <v>4177</v>
      </c>
    </row>
    <row r="407" spans="1:2" x14ac:dyDescent="0.2">
      <c r="A407" s="79" t="s">
        <v>424</v>
      </c>
      <c r="B407" s="79" t="s">
        <v>426</v>
      </c>
    </row>
    <row r="408" spans="1:2" x14ac:dyDescent="0.2">
      <c r="A408" s="79" t="s">
        <v>427</v>
      </c>
      <c r="B408" s="79">
        <v>206103</v>
      </c>
    </row>
    <row r="409" spans="1:2" x14ac:dyDescent="0.2">
      <c r="A409" s="79" t="s">
        <v>428</v>
      </c>
      <c r="B409" s="79" t="s">
        <v>430</v>
      </c>
    </row>
    <row r="410" spans="1:2" x14ac:dyDescent="0.2">
      <c r="A410" s="79" t="s">
        <v>431</v>
      </c>
      <c r="B410" s="79" t="s">
        <v>433</v>
      </c>
    </row>
    <row r="411" spans="1:2" x14ac:dyDescent="0.2">
      <c r="A411" s="79" t="s">
        <v>434</v>
      </c>
      <c r="B411" s="79">
        <v>258420</v>
      </c>
    </row>
    <row r="412" spans="1:2" x14ac:dyDescent="0.2">
      <c r="A412" s="79" t="s">
        <v>436</v>
      </c>
      <c r="B412" s="79">
        <v>258424</v>
      </c>
    </row>
    <row r="413" spans="1:2" x14ac:dyDescent="0.2">
      <c r="A413" s="79" t="s">
        <v>438</v>
      </c>
      <c r="B413" s="79" t="s">
        <v>439</v>
      </c>
    </row>
    <row r="414" spans="1:2" x14ac:dyDescent="0.2">
      <c r="A414" s="142" t="s">
        <v>65</v>
      </c>
      <c r="B414" s="79">
        <v>3546</v>
      </c>
    </row>
    <row r="415" spans="1:2" x14ac:dyDescent="0.2">
      <c r="A415" s="140" t="s">
        <v>8</v>
      </c>
      <c r="B415" s="79">
        <v>1009</v>
      </c>
    </row>
    <row r="416" spans="1:2" x14ac:dyDescent="0.2">
      <c r="A416" s="142" t="s">
        <v>66</v>
      </c>
      <c r="B416" s="79">
        <v>3530</v>
      </c>
    </row>
    <row r="417" spans="1:2" x14ac:dyDescent="0.2">
      <c r="A417" s="1158" t="s">
        <v>74</v>
      </c>
      <c r="B417" s="94">
        <v>5412</v>
      </c>
    </row>
    <row r="418" spans="1:2" ht="15" x14ac:dyDescent="0.2">
      <c r="A418" s="146" t="s">
        <v>445</v>
      </c>
      <c r="B418" s="146" t="s">
        <v>446</v>
      </c>
    </row>
    <row r="419" spans="1:2" x14ac:dyDescent="0.2">
      <c r="A419" s="140" t="s">
        <v>440</v>
      </c>
      <c r="B419" s="144" t="s">
        <v>442</v>
      </c>
    </row>
    <row r="420" spans="1:2" x14ac:dyDescent="0.2">
      <c r="A420" s="79" t="s">
        <v>9</v>
      </c>
      <c r="B420" s="140">
        <v>1015</v>
      </c>
    </row>
    <row r="421" spans="1:2" x14ac:dyDescent="0.2">
      <c r="A421" s="141" t="s">
        <v>443</v>
      </c>
      <c r="B421" s="145" t="s">
        <v>444</v>
      </c>
    </row>
    <row r="422" spans="1:2" x14ac:dyDescent="0.2">
      <c r="A422" s="142" t="s">
        <v>447</v>
      </c>
      <c r="B422" s="79">
        <v>509204</v>
      </c>
    </row>
    <row r="423" spans="1:2" x14ac:dyDescent="0.2">
      <c r="A423" s="1206" t="s">
        <v>67</v>
      </c>
      <c r="B423" s="143">
        <v>2459</v>
      </c>
    </row>
    <row r="424" spans="1:2" x14ac:dyDescent="0.2">
      <c r="A424" s="79" t="s">
        <v>96</v>
      </c>
      <c r="B424" s="79">
        <v>2007</v>
      </c>
    </row>
  </sheetData>
  <sheetProtection password="EF5C" sheet="1" objects="1" scenarios="1"/>
  <mergeCells count="1">
    <mergeCell ref="C1:C2"/>
  </mergeCells>
  <dataValidations count="1">
    <dataValidation type="decimal" operator="greaterThanOrEqual" allowBlank="1" showInputMessage="1" showErrorMessage="1" errorTitle="Error" error="Thisfigure cannot be negative. Please provide a positive unit value." sqref="B139:C146 B152:C159 B117:B118 C111:C118 B111:B115 B124:C128 B130:C131 C129">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R393"/>
  <sheetViews>
    <sheetView zoomScale="85" zoomScaleNormal="85" zoomScaleSheetLayoutView="50" workbookViewId="0">
      <pane xSplit="1" ySplit="1" topLeftCell="AV80" activePane="bottomRight" state="frozen"/>
      <selection activeCell="S139" sqref="S139"/>
      <selection pane="topRight" activeCell="S139" sqref="S139"/>
      <selection pane="bottomLeft" activeCell="S139" sqref="S139"/>
      <selection pane="bottomRight" sqref="A1:BL1048576"/>
    </sheetView>
  </sheetViews>
  <sheetFormatPr defaultColWidth="12.85546875" defaultRowHeight="12.75" x14ac:dyDescent="0.2"/>
  <cols>
    <col min="1" max="1" width="0" style="30" hidden="1" customWidth="1"/>
    <col min="2" max="2" width="0" style="22" hidden="1" customWidth="1"/>
    <col min="3" max="18" width="0" style="11" hidden="1" customWidth="1"/>
    <col min="19" max="19" width="0" style="29" hidden="1" customWidth="1"/>
    <col min="20" max="26" width="0" style="11" hidden="1" customWidth="1"/>
    <col min="27" max="27" width="0" style="29" hidden="1" customWidth="1"/>
    <col min="28" max="37" width="0" style="11" hidden="1" customWidth="1"/>
    <col min="38" max="64" width="0" style="30" hidden="1" customWidth="1"/>
    <col min="65" max="16384" width="12.85546875" style="30"/>
  </cols>
  <sheetData>
    <row r="1" spans="1:44" s="36" customFormat="1" ht="99.75" customHeight="1" thickBot="1" x14ac:dyDescent="0.3">
      <c r="A1" s="35" t="s">
        <v>118</v>
      </c>
      <c r="B1" s="38" t="s">
        <v>81</v>
      </c>
      <c r="C1" s="8" t="s">
        <v>139</v>
      </c>
      <c r="D1" s="8" t="s">
        <v>129</v>
      </c>
      <c r="E1" s="8" t="s">
        <v>130</v>
      </c>
      <c r="F1" s="8" t="s">
        <v>131</v>
      </c>
      <c r="G1" s="8" t="s">
        <v>132</v>
      </c>
      <c r="H1" s="8" t="s">
        <v>133</v>
      </c>
      <c r="I1" s="8" t="s">
        <v>134</v>
      </c>
      <c r="J1" s="8" t="s">
        <v>135</v>
      </c>
      <c r="K1" s="8" t="s">
        <v>645</v>
      </c>
      <c r="L1" s="8" t="s">
        <v>646</v>
      </c>
      <c r="M1" s="8" t="s">
        <v>136</v>
      </c>
      <c r="N1" s="8" t="s">
        <v>127</v>
      </c>
      <c r="O1" s="8" t="s">
        <v>128</v>
      </c>
      <c r="P1" s="8" t="s">
        <v>138</v>
      </c>
      <c r="Q1" s="8" t="s">
        <v>142</v>
      </c>
      <c r="R1" s="37" t="s">
        <v>140</v>
      </c>
      <c r="S1" s="471" t="s">
        <v>141</v>
      </c>
      <c r="T1" s="471" t="s">
        <v>143</v>
      </c>
      <c r="U1" s="471" t="s">
        <v>144</v>
      </c>
      <c r="V1" s="37" t="s">
        <v>145</v>
      </c>
      <c r="W1" s="37" t="s">
        <v>551</v>
      </c>
      <c r="X1" s="471" t="s">
        <v>146</v>
      </c>
      <c r="Y1" s="37" t="s">
        <v>147</v>
      </c>
      <c r="Z1" s="37" t="s">
        <v>148</v>
      </c>
      <c r="AA1" s="37" t="s">
        <v>149</v>
      </c>
      <c r="AB1" s="37"/>
      <c r="AC1" s="37" t="s">
        <v>449</v>
      </c>
      <c r="AD1" s="37"/>
      <c r="AE1" s="37"/>
      <c r="AF1" s="37"/>
      <c r="AG1" s="37" t="s">
        <v>623</v>
      </c>
      <c r="AH1" s="37" t="s">
        <v>624</v>
      </c>
      <c r="AI1" s="37"/>
      <c r="AJ1" s="37"/>
      <c r="AK1" s="1140" t="s">
        <v>1369</v>
      </c>
      <c r="AL1" s="1139" t="s">
        <v>1370</v>
      </c>
      <c r="AM1" s="11"/>
      <c r="AN1" s="11"/>
      <c r="AO1" s="11"/>
      <c r="AP1" s="11"/>
      <c r="AQ1" s="11"/>
      <c r="AR1" s="11"/>
    </row>
    <row r="2" spans="1:44" x14ac:dyDescent="0.2">
      <c r="A2" s="9" t="s">
        <v>10</v>
      </c>
      <c r="B2" s="419">
        <v>2012</v>
      </c>
      <c r="C2" s="11">
        <v>913981.76860000007</v>
      </c>
      <c r="D2" s="11">
        <v>474052.41696087242</v>
      </c>
      <c r="E2" s="11">
        <v>1481.503298470948</v>
      </c>
      <c r="F2" s="11">
        <v>0</v>
      </c>
      <c r="G2" s="11">
        <v>58641.77103366323</v>
      </c>
      <c r="H2" s="11">
        <v>32631.296000000038</v>
      </c>
      <c r="I2" s="11">
        <v>100000</v>
      </c>
      <c r="J2" s="11">
        <v>0</v>
      </c>
      <c r="K2" s="11">
        <v>27854.5</v>
      </c>
      <c r="L2" s="11">
        <v>-5328</v>
      </c>
      <c r="M2" s="11">
        <v>0</v>
      </c>
      <c r="N2" s="29">
        <f t="shared" ref="N2" si="0">SUM(C2:M2)</f>
        <v>1603315.2558930069</v>
      </c>
      <c r="O2" s="11">
        <v>0</v>
      </c>
      <c r="P2" s="11">
        <v>0</v>
      </c>
      <c r="Q2" s="29">
        <f>SUM(N2:P2)</f>
        <v>1603315.2558930069</v>
      </c>
      <c r="R2" s="11">
        <v>0</v>
      </c>
      <c r="S2" s="29">
        <f>SUM(Q2+R2)</f>
        <v>1603315.2558930069</v>
      </c>
      <c r="T2" s="11">
        <v>15675</v>
      </c>
      <c r="U2" s="11">
        <v>0</v>
      </c>
      <c r="V2" s="11">
        <v>9009.75</v>
      </c>
      <c r="X2" s="11">
        <v>0</v>
      </c>
      <c r="Y2" s="11">
        <v>0</v>
      </c>
      <c r="Z2" s="11">
        <v>0</v>
      </c>
      <c r="AA2" s="29">
        <f t="shared" ref="AA2:AA65" si="1">SUM(S2:Z2)</f>
        <v>1628000.0058930069</v>
      </c>
      <c r="AC2" s="11">
        <f>SUMIF('ERS 2015-16'!B:B,B2,'ERS 2015-16'!AC:AC)</f>
        <v>0</v>
      </c>
      <c r="AG2" s="11">
        <f>L2</f>
        <v>-5328</v>
      </c>
      <c r="AH2" s="11">
        <f>K2</f>
        <v>27854.5</v>
      </c>
      <c r="AK2" s="11">
        <f>AA2-AH2-AC2-L2-X2</f>
        <v>1605473.5058930069</v>
      </c>
      <c r="AL2" s="11">
        <f>AK2+AH2</f>
        <v>1633328.0058930069</v>
      </c>
      <c r="AM2" s="11"/>
      <c r="AN2" s="11"/>
      <c r="AO2" s="11"/>
      <c r="AP2" s="11"/>
      <c r="AQ2" s="11"/>
    </row>
    <row r="3" spans="1:44" x14ac:dyDescent="0.2">
      <c r="A3" s="61" t="s">
        <v>454</v>
      </c>
      <c r="B3" s="22">
        <v>4000</v>
      </c>
      <c r="C3" s="11">
        <v>584641.9693</v>
      </c>
      <c r="D3" s="11">
        <v>158420.53516734391</v>
      </c>
      <c r="E3" s="11">
        <v>0</v>
      </c>
      <c r="F3" s="11">
        <v>0</v>
      </c>
      <c r="G3" s="11">
        <v>135886.77970073</v>
      </c>
      <c r="H3" s="11">
        <v>7084.1481257862761</v>
      </c>
      <c r="I3" s="11">
        <v>100000</v>
      </c>
      <c r="J3" s="11">
        <v>0</v>
      </c>
      <c r="K3" s="11">
        <v>8627.5</v>
      </c>
      <c r="L3" s="11">
        <v>0</v>
      </c>
      <c r="M3" s="11">
        <v>0</v>
      </c>
      <c r="N3" s="29">
        <f t="shared" ref="N3" si="2">SUM(C3:M3)</f>
        <v>994660.93229386024</v>
      </c>
      <c r="O3" s="11">
        <v>0</v>
      </c>
      <c r="P3" s="11">
        <v>0</v>
      </c>
      <c r="Q3" s="29">
        <f t="shared" ref="Q3" si="3">SUM(N3:P3)</f>
        <v>994660.93229386024</v>
      </c>
      <c r="R3" s="11">
        <v>0</v>
      </c>
      <c r="S3" s="29">
        <f t="shared" ref="S3" si="4">SUM(Q3+R3)</f>
        <v>994660.93229386024</v>
      </c>
      <c r="T3" s="11">
        <v>14080</v>
      </c>
      <c r="U3" s="11">
        <v>0</v>
      </c>
      <c r="V3" s="11">
        <v>0</v>
      </c>
      <c r="X3" s="11">
        <v>0</v>
      </c>
      <c r="Y3" s="11">
        <v>0</v>
      </c>
      <c r="Z3" s="11">
        <v>0</v>
      </c>
      <c r="AA3" s="29">
        <f t="shared" ref="AA3" si="5">SUM(S3:Z3)</f>
        <v>1008740.9322938602</v>
      </c>
      <c r="AC3" s="11">
        <f>SUMIF('ERS 2015-16'!B:B,B3,'ERS 2015-16'!AC:AC)</f>
        <v>0</v>
      </c>
      <c r="AG3" s="11">
        <f>L3</f>
        <v>0</v>
      </c>
      <c r="AH3" s="11">
        <f>K3</f>
        <v>8627.5</v>
      </c>
      <c r="AK3" s="11">
        <f t="shared" ref="AK3:AK66" si="6">AA3-AH3-AC3-L3-X3</f>
        <v>1000113.4322938602</v>
      </c>
      <c r="AL3" s="11">
        <f t="shared" ref="AL3:AL66" si="7">AK3+AH3</f>
        <v>1008740.9322938602</v>
      </c>
      <c r="AO3" s="11"/>
      <c r="AP3" s="11"/>
      <c r="AR3" s="11"/>
    </row>
    <row r="4" spans="1:44" x14ac:dyDescent="0.2">
      <c r="A4" s="9" t="s">
        <v>11</v>
      </c>
      <c r="B4" s="26">
        <v>2443</v>
      </c>
      <c r="C4" s="11">
        <v>651020.53350000002</v>
      </c>
      <c r="D4" s="11">
        <v>129803.82830160568</v>
      </c>
      <c r="E4" s="11">
        <v>1332.3176003861004</v>
      </c>
      <c r="F4" s="11">
        <v>0</v>
      </c>
      <c r="G4" s="11">
        <v>13224.976909090907</v>
      </c>
      <c r="H4" s="11">
        <v>0</v>
      </c>
      <c r="I4" s="11">
        <v>100000</v>
      </c>
      <c r="J4" s="11">
        <v>0</v>
      </c>
      <c r="K4" s="11">
        <v>12448.25</v>
      </c>
      <c r="L4" s="11">
        <v>-8694.86</v>
      </c>
      <c r="M4" s="11">
        <v>0</v>
      </c>
      <c r="N4" s="29">
        <f t="shared" ref="N4:N67" si="8">SUM(C4:M4)</f>
        <v>899135.04631108267</v>
      </c>
      <c r="O4" s="11">
        <v>0</v>
      </c>
      <c r="P4" s="11">
        <v>0</v>
      </c>
      <c r="Q4" s="29">
        <f t="shared" ref="Q4:Q67" si="9">SUM(N4:P4)</f>
        <v>899135.04631108267</v>
      </c>
      <c r="R4" s="11">
        <v>-19543.2</v>
      </c>
      <c r="S4" s="29">
        <f t="shared" ref="S4:S67" si="10">SUM(Q4+R4)</f>
        <v>879591.84631108271</v>
      </c>
      <c r="T4" s="11">
        <v>15000</v>
      </c>
      <c r="U4" s="11">
        <v>0</v>
      </c>
      <c r="V4" s="11">
        <v>12763.8125</v>
      </c>
      <c r="X4" s="11">
        <v>0</v>
      </c>
      <c r="Y4" s="11">
        <v>102173.44321183272</v>
      </c>
      <c r="Z4" s="11">
        <v>0</v>
      </c>
      <c r="AA4" s="29">
        <f t="shared" si="1"/>
        <v>1009529.1020229154</v>
      </c>
      <c r="AC4" s="11">
        <f>SUMIF('ERS 2015-16'!B:B,B4,'ERS 2015-16'!AC:AC)</f>
        <v>0</v>
      </c>
      <c r="AG4" s="11">
        <f t="shared" ref="AG4:AG67" si="11">L4</f>
        <v>-8694.86</v>
      </c>
      <c r="AH4" s="11">
        <f t="shared" ref="AH4:AH67" si="12">K4</f>
        <v>12448.25</v>
      </c>
      <c r="AK4" s="11">
        <f t="shared" si="6"/>
        <v>1005775.7120229154</v>
      </c>
      <c r="AL4" s="11">
        <f t="shared" si="7"/>
        <v>1018223.9620229154</v>
      </c>
      <c r="AM4" s="11"/>
      <c r="AN4" s="11"/>
      <c r="AO4" s="11"/>
      <c r="AP4" s="11"/>
      <c r="AQ4" s="11"/>
      <c r="AR4" s="11"/>
    </row>
    <row r="5" spans="1:44" x14ac:dyDescent="0.2">
      <c r="A5" s="9" t="s">
        <v>94</v>
      </c>
      <c r="B5" s="26">
        <v>2442</v>
      </c>
      <c r="C5" s="11">
        <v>788883.70530000003</v>
      </c>
      <c r="D5" s="11">
        <v>198388.25276731647</v>
      </c>
      <c r="E5" s="11">
        <v>0</v>
      </c>
      <c r="F5" s="11">
        <v>0</v>
      </c>
      <c r="G5" s="11">
        <v>2609.4251072368425</v>
      </c>
      <c r="H5" s="11">
        <v>0</v>
      </c>
      <c r="I5" s="11">
        <v>100000</v>
      </c>
      <c r="J5" s="11">
        <v>0</v>
      </c>
      <c r="K5" s="11">
        <v>12448.25</v>
      </c>
      <c r="L5" s="11">
        <v>-8694.86</v>
      </c>
      <c r="M5" s="11">
        <v>0</v>
      </c>
      <c r="N5" s="29">
        <f t="shared" si="8"/>
        <v>1093634.7731745534</v>
      </c>
      <c r="O5" s="11">
        <v>0</v>
      </c>
      <c r="P5" s="11">
        <v>0</v>
      </c>
      <c r="Q5" s="29">
        <f t="shared" si="9"/>
        <v>1093634.7731745534</v>
      </c>
      <c r="R5" s="11">
        <v>-23681.759999999998</v>
      </c>
      <c r="S5" s="29">
        <f t="shared" si="10"/>
        <v>1069953.0131745534</v>
      </c>
      <c r="T5" s="11">
        <v>0</v>
      </c>
      <c r="U5" s="11">
        <v>245587.07500000001</v>
      </c>
      <c r="V5" s="11">
        <v>0</v>
      </c>
      <c r="X5" s="11">
        <v>0</v>
      </c>
      <c r="Y5" s="11">
        <v>0</v>
      </c>
      <c r="Z5" s="11">
        <v>0</v>
      </c>
      <c r="AA5" s="29">
        <f t="shared" si="1"/>
        <v>1315540.0881745534</v>
      </c>
      <c r="AC5" s="11">
        <f>SUMIF('ERS 2015-16'!B:B,B5,'ERS 2015-16'!AC:AC)</f>
        <v>0</v>
      </c>
      <c r="AG5" s="11">
        <f t="shared" si="11"/>
        <v>-8694.86</v>
      </c>
      <c r="AH5" s="11">
        <f t="shared" si="12"/>
        <v>12448.25</v>
      </c>
      <c r="AK5" s="11">
        <f t="shared" si="6"/>
        <v>1311786.6981745535</v>
      </c>
      <c r="AL5" s="11">
        <f t="shared" si="7"/>
        <v>1324234.9481745535</v>
      </c>
      <c r="AM5" s="11"/>
      <c r="AN5" s="11"/>
      <c r="AO5" s="11"/>
      <c r="AP5" s="11"/>
      <c r="AQ5" s="11"/>
      <c r="AR5" s="11"/>
    </row>
    <row r="6" spans="1:44" x14ac:dyDescent="0.2">
      <c r="A6" s="9" t="s">
        <v>13</v>
      </c>
      <c r="B6" s="26">
        <v>2629</v>
      </c>
      <c r="C6" s="11">
        <v>1100352.3527000002</v>
      </c>
      <c r="D6" s="11">
        <v>359812.74109937332</v>
      </c>
      <c r="E6" s="11">
        <v>1454.4548571072319</v>
      </c>
      <c r="F6" s="11">
        <v>0</v>
      </c>
      <c r="G6" s="11">
        <v>206825.1860867402</v>
      </c>
      <c r="H6" s="11">
        <v>24192.812917431151</v>
      </c>
      <c r="I6" s="11">
        <v>100000</v>
      </c>
      <c r="J6" s="11">
        <v>0</v>
      </c>
      <c r="K6" s="11">
        <v>38700.5</v>
      </c>
      <c r="L6" s="11">
        <v>-7412.9599999999991</v>
      </c>
      <c r="M6" s="11">
        <v>0</v>
      </c>
      <c r="N6" s="29">
        <f t="shared" si="8"/>
        <v>1823925.0876606521</v>
      </c>
      <c r="O6" s="11">
        <v>20886.479451792082</v>
      </c>
      <c r="P6" s="11">
        <v>0</v>
      </c>
      <c r="Q6" s="29">
        <f t="shared" si="9"/>
        <v>1844811.5671124442</v>
      </c>
      <c r="R6" s="11">
        <v>-33031.840000000004</v>
      </c>
      <c r="S6" s="29">
        <f t="shared" si="10"/>
        <v>1811779.7271124441</v>
      </c>
      <c r="T6" s="11">
        <v>33160</v>
      </c>
      <c r="U6" s="11">
        <v>88219.97</v>
      </c>
      <c r="V6" s="11">
        <v>8509.2083333333339</v>
      </c>
      <c r="X6" s="11">
        <v>0</v>
      </c>
      <c r="Y6" s="11">
        <v>191927.96479481822</v>
      </c>
      <c r="Z6" s="11">
        <v>0</v>
      </c>
      <c r="AA6" s="29">
        <f t="shared" si="1"/>
        <v>2133596.8702405957</v>
      </c>
      <c r="AC6" s="11">
        <f>SUMIF('ERS 2015-16'!B:B,B6,'ERS 2015-16'!AC:AC)</f>
        <v>0</v>
      </c>
      <c r="AG6" s="11">
        <f t="shared" si="11"/>
        <v>-7412.9599999999991</v>
      </c>
      <c r="AH6" s="11">
        <f t="shared" si="12"/>
        <v>38700.5</v>
      </c>
      <c r="AK6" s="11">
        <f t="shared" si="6"/>
        <v>2102309.3302405956</v>
      </c>
      <c r="AL6" s="11">
        <f t="shared" si="7"/>
        <v>2141009.8302405956</v>
      </c>
      <c r="AM6" s="11"/>
      <c r="AN6" s="11"/>
      <c r="AO6" s="11"/>
      <c r="AP6" s="11"/>
      <c r="AQ6" s="11"/>
      <c r="AR6" s="11"/>
    </row>
    <row r="7" spans="1:44" x14ac:dyDescent="0.2">
      <c r="A7" s="9" t="s">
        <v>14</v>
      </c>
      <c r="B7" s="26">
        <v>2509</v>
      </c>
      <c r="C7" s="11">
        <v>497839.23150000005</v>
      </c>
      <c r="D7" s="11">
        <v>106262.61238003393</v>
      </c>
      <c r="E7" s="11">
        <v>2706.4333999999999</v>
      </c>
      <c r="F7" s="11">
        <v>0</v>
      </c>
      <c r="G7" s="11">
        <v>23677.229128378396</v>
      </c>
      <c r="H7" s="11">
        <v>4198.880000000011</v>
      </c>
      <c r="I7" s="11">
        <v>100000</v>
      </c>
      <c r="J7" s="11">
        <v>0</v>
      </c>
      <c r="K7" s="11">
        <v>11339</v>
      </c>
      <c r="L7" s="11">
        <v>-8856.83</v>
      </c>
      <c r="M7" s="11">
        <v>0</v>
      </c>
      <c r="N7" s="29">
        <f t="shared" si="8"/>
        <v>737166.55640841241</v>
      </c>
      <c r="O7" s="11">
        <v>0</v>
      </c>
      <c r="P7" s="11">
        <v>0</v>
      </c>
      <c r="Q7" s="29">
        <f t="shared" si="9"/>
        <v>737166.55640841241</v>
      </c>
      <c r="R7" s="11">
        <v>-14944.8</v>
      </c>
      <c r="S7" s="29">
        <f t="shared" si="10"/>
        <v>722221.75640841236</v>
      </c>
      <c r="T7" s="11">
        <v>32700</v>
      </c>
      <c r="U7" s="11">
        <v>0</v>
      </c>
      <c r="V7" s="11">
        <v>3003.25</v>
      </c>
      <c r="X7" s="11">
        <v>0</v>
      </c>
      <c r="Y7" s="11">
        <v>0</v>
      </c>
      <c r="Z7" s="11">
        <v>0</v>
      </c>
      <c r="AA7" s="29">
        <f t="shared" si="1"/>
        <v>757925.00640841236</v>
      </c>
      <c r="AC7" s="11">
        <f>SUMIF('ERS 2015-16'!B:B,B7,'ERS 2015-16'!AC:AC)</f>
        <v>0</v>
      </c>
      <c r="AG7" s="11">
        <f t="shared" si="11"/>
        <v>-8856.83</v>
      </c>
      <c r="AH7" s="11">
        <f t="shared" si="12"/>
        <v>11339</v>
      </c>
      <c r="AK7" s="11">
        <f t="shared" si="6"/>
        <v>755442.83640841232</v>
      </c>
      <c r="AL7" s="11">
        <f t="shared" si="7"/>
        <v>766781.83640841232</v>
      </c>
      <c r="AO7" s="11"/>
      <c r="AP7" s="11"/>
    </row>
    <row r="8" spans="1:44" x14ac:dyDescent="0.2">
      <c r="A8" s="9" t="s">
        <v>15</v>
      </c>
      <c r="B8" s="26">
        <v>2005</v>
      </c>
      <c r="C8" s="11">
        <v>824626.00910000002</v>
      </c>
      <c r="D8" s="11">
        <v>266622.09556290804</v>
      </c>
      <c r="E8" s="11">
        <v>0</v>
      </c>
      <c r="F8" s="11">
        <v>0</v>
      </c>
      <c r="G8" s="11">
        <v>30821.807695683321</v>
      </c>
      <c r="H8" s="11">
        <v>34430.816000000123</v>
      </c>
      <c r="I8" s="11">
        <v>100000</v>
      </c>
      <c r="J8" s="11">
        <v>0</v>
      </c>
      <c r="K8" s="11">
        <v>13680.75</v>
      </c>
      <c r="L8" s="11">
        <v>-7233.4999999999991</v>
      </c>
      <c r="M8" s="11">
        <v>0</v>
      </c>
      <c r="N8" s="29">
        <f t="shared" si="8"/>
        <v>1262947.9783585914</v>
      </c>
      <c r="O8" s="11">
        <v>0</v>
      </c>
      <c r="P8" s="11">
        <v>0</v>
      </c>
      <c r="Q8" s="29">
        <f t="shared" si="9"/>
        <v>1262947.9783585914</v>
      </c>
      <c r="R8" s="11">
        <v>-24754.720000000001</v>
      </c>
      <c r="S8" s="29">
        <f t="shared" si="10"/>
        <v>1238193.2583585915</v>
      </c>
      <c r="T8" s="11">
        <v>27025</v>
      </c>
      <c r="U8" s="11">
        <v>0</v>
      </c>
      <c r="V8" s="11">
        <v>0</v>
      </c>
      <c r="X8" s="11">
        <v>0</v>
      </c>
      <c r="Y8" s="11">
        <v>0</v>
      </c>
      <c r="Z8" s="11">
        <v>0</v>
      </c>
      <c r="AA8" s="29">
        <f t="shared" si="1"/>
        <v>1265218.2583585915</v>
      </c>
      <c r="AC8" s="11">
        <f>SUMIF('ERS 2015-16'!B:B,B8,'ERS 2015-16'!AC:AC)</f>
        <v>0</v>
      </c>
      <c r="AG8" s="11">
        <f t="shared" si="11"/>
        <v>-7233.4999999999991</v>
      </c>
      <c r="AH8" s="11">
        <f t="shared" si="12"/>
        <v>13680.75</v>
      </c>
      <c r="AK8" s="11">
        <f t="shared" si="6"/>
        <v>1258771.0083585915</v>
      </c>
      <c r="AL8" s="11">
        <f t="shared" si="7"/>
        <v>1272451.7583585915</v>
      </c>
      <c r="AO8" s="11"/>
      <c r="AP8" s="11"/>
    </row>
    <row r="9" spans="1:44" x14ac:dyDescent="0.2">
      <c r="A9" s="9" t="s">
        <v>16</v>
      </c>
      <c r="B9" s="26">
        <v>2464</v>
      </c>
      <c r="C9" s="11">
        <v>490180.16640000005</v>
      </c>
      <c r="D9" s="11">
        <v>97458.002307210176</v>
      </c>
      <c r="E9" s="11">
        <v>0</v>
      </c>
      <c r="F9" s="11">
        <v>0</v>
      </c>
      <c r="G9" s="11">
        <v>1007.9809177914103</v>
      </c>
      <c r="H9" s="11">
        <v>0</v>
      </c>
      <c r="I9" s="11">
        <v>100000</v>
      </c>
      <c r="J9" s="11">
        <v>0</v>
      </c>
      <c r="K9" s="11">
        <v>10599.5</v>
      </c>
      <c r="L9" s="11">
        <v>-11177.59</v>
      </c>
      <c r="M9" s="11">
        <v>0</v>
      </c>
      <c r="N9" s="29">
        <f t="shared" si="8"/>
        <v>688068.05962500162</v>
      </c>
      <c r="O9" s="11">
        <v>43655.923176119104</v>
      </c>
      <c r="P9" s="11">
        <v>0</v>
      </c>
      <c r="Q9" s="29">
        <f t="shared" si="9"/>
        <v>731723.98280112073</v>
      </c>
      <c r="R9" s="11">
        <v>-14714.880000000001</v>
      </c>
      <c r="S9" s="29">
        <f t="shared" si="10"/>
        <v>717009.10280112072</v>
      </c>
      <c r="T9" s="11">
        <v>7270</v>
      </c>
      <c r="U9" s="11">
        <v>0</v>
      </c>
      <c r="V9" s="11">
        <v>0</v>
      </c>
      <c r="X9" s="11">
        <v>0</v>
      </c>
      <c r="Y9" s="11">
        <v>79511.729709737454</v>
      </c>
      <c r="Z9" s="11">
        <v>0</v>
      </c>
      <c r="AA9" s="29">
        <f t="shared" si="1"/>
        <v>803790.83251085819</v>
      </c>
      <c r="AC9" s="11">
        <f>SUMIF('ERS 2015-16'!B:B,B9,'ERS 2015-16'!AC:AC)</f>
        <v>0</v>
      </c>
      <c r="AG9" s="11">
        <f t="shared" si="11"/>
        <v>-11177.59</v>
      </c>
      <c r="AH9" s="11">
        <f t="shared" si="12"/>
        <v>10599.5</v>
      </c>
      <c r="AK9" s="11">
        <f t="shared" si="6"/>
        <v>804368.92251085816</v>
      </c>
      <c r="AL9" s="11">
        <f t="shared" si="7"/>
        <v>814968.42251085816</v>
      </c>
      <c r="AO9" s="11"/>
      <c r="AP9" s="11"/>
    </row>
    <row r="10" spans="1:44" x14ac:dyDescent="0.2">
      <c r="A10" s="9" t="s">
        <v>17</v>
      </c>
      <c r="B10" s="26">
        <v>2004</v>
      </c>
      <c r="C10" s="11">
        <v>694421.90240000002</v>
      </c>
      <c r="D10" s="11">
        <v>350956.08662044629</v>
      </c>
      <c r="E10" s="11">
        <v>0</v>
      </c>
      <c r="F10" s="11">
        <v>0</v>
      </c>
      <c r="G10" s="11">
        <v>13691.740799999998</v>
      </c>
      <c r="H10" s="11">
        <v>5758.4639999998626</v>
      </c>
      <c r="I10" s="11">
        <v>100000</v>
      </c>
      <c r="J10" s="11">
        <v>0</v>
      </c>
      <c r="K10" s="11">
        <v>12325</v>
      </c>
      <c r="L10" s="11">
        <v>-12126.32</v>
      </c>
      <c r="M10" s="11">
        <v>0</v>
      </c>
      <c r="N10" s="29">
        <f t="shared" si="8"/>
        <v>1165026.8738204462</v>
      </c>
      <c r="O10" s="11">
        <v>59462.518725579139</v>
      </c>
      <c r="P10" s="11">
        <v>0</v>
      </c>
      <c r="Q10" s="29">
        <f t="shared" si="9"/>
        <v>1224489.3925460253</v>
      </c>
      <c r="R10" s="11">
        <v>-20846.080000000002</v>
      </c>
      <c r="S10" s="29">
        <f t="shared" si="10"/>
        <v>1203643.3125460253</v>
      </c>
      <c r="T10" s="11">
        <v>39510</v>
      </c>
      <c r="U10" s="11">
        <v>0</v>
      </c>
      <c r="V10" s="11">
        <v>0</v>
      </c>
      <c r="X10" s="11">
        <v>0</v>
      </c>
      <c r="Y10" s="11">
        <v>86704.589573483376</v>
      </c>
      <c r="Z10" s="11">
        <v>0</v>
      </c>
      <c r="AA10" s="29">
        <f t="shared" si="1"/>
        <v>1329857.9021195087</v>
      </c>
      <c r="AC10" s="11">
        <f>SUMIF('ERS 2015-16'!B:B,B10,'ERS 2015-16'!AC:AC)</f>
        <v>0</v>
      </c>
      <c r="AG10" s="11">
        <f t="shared" si="11"/>
        <v>-12126.32</v>
      </c>
      <c r="AH10" s="11">
        <f t="shared" si="12"/>
        <v>12325</v>
      </c>
      <c r="AK10" s="11">
        <f t="shared" si="6"/>
        <v>1329659.2221195088</v>
      </c>
      <c r="AL10" s="11">
        <f t="shared" si="7"/>
        <v>1341984.2221195088</v>
      </c>
      <c r="AO10" s="11"/>
      <c r="AP10" s="11"/>
    </row>
    <row r="11" spans="1:44" x14ac:dyDescent="0.2">
      <c r="A11" s="9" t="s">
        <v>18</v>
      </c>
      <c r="B11" s="26">
        <v>2405</v>
      </c>
      <c r="C11" s="11">
        <v>513157.36170000007</v>
      </c>
      <c r="D11" s="11">
        <v>190167.49574074239</v>
      </c>
      <c r="E11" s="11">
        <v>0</v>
      </c>
      <c r="F11" s="11">
        <v>0</v>
      </c>
      <c r="G11" s="11">
        <v>34011.792559321977</v>
      </c>
      <c r="H11" s="11">
        <v>0</v>
      </c>
      <c r="I11" s="11">
        <v>100000</v>
      </c>
      <c r="J11" s="11">
        <v>0</v>
      </c>
      <c r="K11" s="11">
        <v>9860</v>
      </c>
      <c r="L11" s="11">
        <v>-15698.470000000001</v>
      </c>
      <c r="M11" s="11">
        <v>0</v>
      </c>
      <c r="N11" s="29">
        <f t="shared" si="8"/>
        <v>831498.18000006443</v>
      </c>
      <c r="O11" s="11">
        <v>9033.4111288044369</v>
      </c>
      <c r="P11" s="11">
        <v>0</v>
      </c>
      <c r="Q11" s="29">
        <f t="shared" si="9"/>
        <v>840531.59112886887</v>
      </c>
      <c r="R11" s="11">
        <v>-15404.64</v>
      </c>
      <c r="S11" s="29">
        <f t="shared" si="10"/>
        <v>825126.95112886885</v>
      </c>
      <c r="T11" s="11">
        <v>5000</v>
      </c>
      <c r="U11" s="11">
        <v>115515.58500000001</v>
      </c>
      <c r="V11" s="11">
        <v>13514.625</v>
      </c>
      <c r="X11" s="11">
        <v>0</v>
      </c>
      <c r="Y11" s="11">
        <v>85959.257933480912</v>
      </c>
      <c r="Z11" s="11">
        <v>0</v>
      </c>
      <c r="AA11" s="29">
        <f t="shared" si="1"/>
        <v>1045116.4190623497</v>
      </c>
      <c r="AC11" s="11">
        <f>SUMIF('ERS 2015-16'!B:B,B11,'ERS 2015-16'!AC:AC)</f>
        <v>0</v>
      </c>
      <c r="AG11" s="11">
        <f t="shared" si="11"/>
        <v>-15698.470000000001</v>
      </c>
      <c r="AH11" s="11">
        <f t="shared" si="12"/>
        <v>9860</v>
      </c>
      <c r="AK11" s="11">
        <f t="shared" si="6"/>
        <v>1050954.8890623497</v>
      </c>
      <c r="AL11" s="11">
        <f t="shared" si="7"/>
        <v>1060814.8890623497</v>
      </c>
      <c r="AO11" s="11"/>
      <c r="AP11" s="11"/>
    </row>
    <row r="12" spans="1:44" x14ac:dyDescent="0.2">
      <c r="A12" s="9" t="s">
        <v>95</v>
      </c>
      <c r="B12" s="419">
        <v>2011</v>
      </c>
      <c r="C12" s="11">
        <v>546346.64380000008</v>
      </c>
      <c r="D12" s="11">
        <v>133684.05204528177</v>
      </c>
      <c r="E12" s="11">
        <v>0</v>
      </c>
      <c r="F12" s="11">
        <v>0</v>
      </c>
      <c r="G12" s="11">
        <v>10061.924901098893</v>
      </c>
      <c r="H12" s="11">
        <v>0</v>
      </c>
      <c r="I12" s="11">
        <v>100000</v>
      </c>
      <c r="J12" s="11">
        <v>0</v>
      </c>
      <c r="K12" s="11">
        <v>4856.0499999999993</v>
      </c>
      <c r="L12" s="11">
        <v>0</v>
      </c>
      <c r="M12" s="11">
        <v>0</v>
      </c>
      <c r="N12" s="29">
        <f t="shared" si="8"/>
        <v>794948.67074638081</v>
      </c>
      <c r="O12" s="11">
        <v>1544.6942790300818</v>
      </c>
      <c r="P12" s="11">
        <v>0</v>
      </c>
      <c r="Q12" s="29">
        <f t="shared" si="9"/>
        <v>796493.36502541089</v>
      </c>
      <c r="R12" s="11">
        <v>0</v>
      </c>
      <c r="S12" s="29">
        <f t="shared" si="10"/>
        <v>796493.36502541089</v>
      </c>
      <c r="T12" s="11">
        <v>42915</v>
      </c>
      <c r="U12" s="11">
        <v>0</v>
      </c>
      <c r="V12" s="11">
        <v>31784.395833333336</v>
      </c>
      <c r="X12" s="11">
        <v>0</v>
      </c>
      <c r="Y12" s="11">
        <v>71411.733000000007</v>
      </c>
      <c r="Z12" s="11">
        <v>0</v>
      </c>
      <c r="AA12" s="29">
        <f t="shared" si="1"/>
        <v>942604.49385874427</v>
      </c>
      <c r="AC12" s="11">
        <f>SUMIF('ERS 2015-16'!B:B,B12,'ERS 2015-16'!AC:AC)</f>
        <v>0</v>
      </c>
      <c r="AG12" s="11">
        <f t="shared" si="11"/>
        <v>0</v>
      </c>
      <c r="AH12" s="11">
        <f t="shared" si="12"/>
        <v>4856.0499999999993</v>
      </c>
      <c r="AK12" s="11">
        <f t="shared" si="6"/>
        <v>937748.44385874423</v>
      </c>
      <c r="AL12" s="11">
        <f t="shared" si="7"/>
        <v>942604.49385874427</v>
      </c>
      <c r="AO12" s="11"/>
      <c r="AP12" s="11"/>
    </row>
    <row r="13" spans="1:44" x14ac:dyDescent="0.2">
      <c r="A13" s="9" t="s">
        <v>20</v>
      </c>
      <c r="B13" s="26">
        <v>5201</v>
      </c>
      <c r="C13" s="11">
        <v>1069716.0923000001</v>
      </c>
      <c r="D13" s="11">
        <v>89432.584876583103</v>
      </c>
      <c r="E13" s="11">
        <v>1431.8126194444444</v>
      </c>
      <c r="F13" s="11">
        <v>0</v>
      </c>
      <c r="G13" s="11">
        <v>2987.9371849999989</v>
      </c>
      <c r="H13" s="11">
        <v>0</v>
      </c>
      <c r="I13" s="11">
        <v>100000</v>
      </c>
      <c r="J13" s="11">
        <v>0</v>
      </c>
      <c r="K13" s="11">
        <v>16762</v>
      </c>
      <c r="L13" s="11">
        <v>-17258.400000000001</v>
      </c>
      <c r="M13" s="11">
        <v>0</v>
      </c>
      <c r="N13" s="29">
        <f t="shared" si="8"/>
        <v>1263072.0269810278</v>
      </c>
      <c r="O13" s="11">
        <v>0</v>
      </c>
      <c r="P13" s="11">
        <v>0</v>
      </c>
      <c r="Q13" s="29">
        <f t="shared" si="9"/>
        <v>1263072.0269810278</v>
      </c>
      <c r="R13" s="11">
        <v>-32112.16</v>
      </c>
      <c r="S13" s="29">
        <f t="shared" si="10"/>
        <v>1230959.8669810279</v>
      </c>
      <c r="T13" s="11">
        <v>11135</v>
      </c>
      <c r="U13" s="11">
        <v>0</v>
      </c>
      <c r="V13" s="11">
        <v>43797.395833333336</v>
      </c>
      <c r="X13" s="11">
        <v>0</v>
      </c>
      <c r="Y13" s="11">
        <v>87968.229564234789</v>
      </c>
      <c r="Z13" s="11">
        <v>0</v>
      </c>
      <c r="AA13" s="29">
        <f t="shared" si="1"/>
        <v>1373860.492378596</v>
      </c>
      <c r="AC13" s="11">
        <f>SUMIF('ERS 2015-16'!B:B,B13,'ERS 2015-16'!AC:AC)</f>
        <v>0</v>
      </c>
      <c r="AG13" s="11">
        <f t="shared" si="11"/>
        <v>-17258.400000000001</v>
      </c>
      <c r="AH13" s="11">
        <f t="shared" si="12"/>
        <v>16762</v>
      </c>
      <c r="AK13" s="11">
        <f t="shared" si="6"/>
        <v>1374356.8923785959</v>
      </c>
      <c r="AL13" s="11">
        <f t="shared" si="7"/>
        <v>1391118.8923785959</v>
      </c>
      <c r="AO13" s="11"/>
      <c r="AP13" s="11"/>
    </row>
    <row r="14" spans="1:44" x14ac:dyDescent="0.2">
      <c r="A14" s="9" t="s">
        <v>96</v>
      </c>
      <c r="B14" s="26">
        <v>2007</v>
      </c>
      <c r="C14" s="11">
        <v>776118.59680000006</v>
      </c>
      <c r="D14" s="11">
        <v>311276.45382599882</v>
      </c>
      <c r="E14" s="11">
        <v>3116.4990666666667</v>
      </c>
      <c r="F14" s="11">
        <v>0</v>
      </c>
      <c r="G14" s="11">
        <v>37894.857411023702</v>
      </c>
      <c r="H14" s="11">
        <v>16315.647999999941</v>
      </c>
      <c r="I14" s="11">
        <v>100000</v>
      </c>
      <c r="J14" s="11">
        <v>0</v>
      </c>
      <c r="K14" s="11">
        <v>2514.2999999999993</v>
      </c>
      <c r="L14" s="11">
        <v>0</v>
      </c>
      <c r="M14" s="11">
        <v>0</v>
      </c>
      <c r="N14" s="29">
        <f t="shared" si="8"/>
        <v>1247236.3551036895</v>
      </c>
      <c r="O14" s="11">
        <v>0</v>
      </c>
      <c r="P14" s="11">
        <v>0</v>
      </c>
      <c r="Q14" s="29">
        <f t="shared" si="9"/>
        <v>1247236.3551036895</v>
      </c>
      <c r="R14" s="11">
        <v>0</v>
      </c>
      <c r="S14" s="29">
        <f t="shared" si="10"/>
        <v>1247236.3551036895</v>
      </c>
      <c r="T14" s="11">
        <v>22485</v>
      </c>
      <c r="U14" s="11">
        <v>0</v>
      </c>
      <c r="V14" s="11">
        <v>16017.333333333334</v>
      </c>
      <c r="X14" s="11">
        <v>0</v>
      </c>
      <c r="Y14" s="11">
        <v>83632.019125858162</v>
      </c>
      <c r="Z14" s="11">
        <v>0</v>
      </c>
      <c r="AA14" s="29">
        <f t="shared" si="1"/>
        <v>1369370.7075628808</v>
      </c>
      <c r="AC14" s="11">
        <f>SUMIF('ERS 2015-16'!B:B,B14,'ERS 2015-16'!AC:AC)</f>
        <v>0</v>
      </c>
      <c r="AG14" s="11">
        <f t="shared" si="11"/>
        <v>0</v>
      </c>
      <c r="AH14" s="11">
        <f t="shared" si="12"/>
        <v>2514.2999999999993</v>
      </c>
      <c r="AK14" s="11">
        <f t="shared" si="6"/>
        <v>1366856.4075628808</v>
      </c>
      <c r="AL14" s="11">
        <f t="shared" si="7"/>
        <v>1369370.7075628808</v>
      </c>
      <c r="AO14" s="11"/>
      <c r="AP14" s="11"/>
    </row>
    <row r="15" spans="1:44" x14ac:dyDescent="0.2">
      <c r="A15" s="9" t="s">
        <v>21</v>
      </c>
      <c r="B15" s="26">
        <v>2433</v>
      </c>
      <c r="C15" s="11">
        <v>439119.73240000004</v>
      </c>
      <c r="D15" s="11">
        <v>127101.08566324913</v>
      </c>
      <c r="E15" s="11">
        <v>0</v>
      </c>
      <c r="F15" s="11">
        <v>0</v>
      </c>
      <c r="G15" s="11">
        <v>12648.815231249999</v>
      </c>
      <c r="H15" s="11">
        <v>0</v>
      </c>
      <c r="I15" s="11">
        <v>100000</v>
      </c>
      <c r="J15" s="11">
        <v>0</v>
      </c>
      <c r="K15" s="11">
        <v>6902</v>
      </c>
      <c r="L15" s="11">
        <v>-5816.2649999999994</v>
      </c>
      <c r="M15" s="11">
        <v>0</v>
      </c>
      <c r="N15" s="29">
        <f t="shared" si="8"/>
        <v>679955.36829449912</v>
      </c>
      <c r="O15" s="11">
        <v>59202.169196252129</v>
      </c>
      <c r="P15" s="11">
        <v>0</v>
      </c>
      <c r="Q15" s="29">
        <f t="shared" si="9"/>
        <v>739157.53749075125</v>
      </c>
      <c r="R15" s="11">
        <v>-13182.08</v>
      </c>
      <c r="S15" s="29">
        <f t="shared" si="10"/>
        <v>725975.45749075129</v>
      </c>
      <c r="T15" s="11">
        <v>44510</v>
      </c>
      <c r="U15" s="11">
        <v>450537.13500000001</v>
      </c>
      <c r="V15" s="11">
        <v>0</v>
      </c>
      <c r="X15" s="11">
        <v>0</v>
      </c>
      <c r="Y15" s="11">
        <v>114244.94010129107</v>
      </c>
      <c r="Z15" s="11">
        <v>0</v>
      </c>
      <c r="AA15" s="29">
        <f t="shared" si="1"/>
        <v>1335267.5325920423</v>
      </c>
      <c r="AC15" s="11">
        <f>SUMIF('ERS 2015-16'!B:B,B15,'ERS 2015-16'!AC:AC)</f>
        <v>0</v>
      </c>
      <c r="AG15" s="11">
        <f t="shared" si="11"/>
        <v>-5816.2649999999994</v>
      </c>
      <c r="AH15" s="11">
        <f t="shared" si="12"/>
        <v>6902</v>
      </c>
      <c r="AK15" s="11">
        <f t="shared" si="6"/>
        <v>1334181.7975920422</v>
      </c>
      <c r="AL15" s="11">
        <f t="shared" si="7"/>
        <v>1341083.7975920422</v>
      </c>
      <c r="AO15" s="11"/>
      <c r="AP15" s="11"/>
    </row>
    <row r="16" spans="1:44" x14ac:dyDescent="0.2">
      <c r="A16" s="9" t="s">
        <v>22</v>
      </c>
      <c r="B16" s="26">
        <v>2432</v>
      </c>
      <c r="C16" s="11">
        <v>523369.44850000006</v>
      </c>
      <c r="D16" s="11">
        <v>161276.20753415918</v>
      </c>
      <c r="E16" s="11">
        <v>1155.8725979166666</v>
      </c>
      <c r="F16" s="11">
        <v>0</v>
      </c>
      <c r="G16" s="11">
        <v>4331.4920740740808</v>
      </c>
      <c r="H16" s="11">
        <v>0</v>
      </c>
      <c r="I16" s="11">
        <v>100000</v>
      </c>
      <c r="J16" s="11">
        <v>0</v>
      </c>
      <c r="K16" s="11">
        <v>6902</v>
      </c>
      <c r="L16" s="11">
        <v>-5816.2649999999994</v>
      </c>
      <c r="M16" s="11">
        <v>0</v>
      </c>
      <c r="N16" s="29">
        <f t="shared" si="8"/>
        <v>791218.75570614997</v>
      </c>
      <c r="O16" s="11">
        <v>26852.335601085564</v>
      </c>
      <c r="P16" s="11">
        <v>0</v>
      </c>
      <c r="Q16" s="29">
        <f t="shared" si="9"/>
        <v>818071.09130723553</v>
      </c>
      <c r="R16" s="11">
        <v>-15711.2</v>
      </c>
      <c r="S16" s="29">
        <f t="shared" si="10"/>
        <v>802359.89130723558</v>
      </c>
      <c r="T16" s="11">
        <v>0</v>
      </c>
      <c r="U16" s="11">
        <v>696669.62</v>
      </c>
      <c r="V16" s="11">
        <v>13014.083333333334</v>
      </c>
      <c r="X16" s="11">
        <v>0</v>
      </c>
      <c r="Y16" s="11">
        <v>0</v>
      </c>
      <c r="Z16" s="11">
        <v>0</v>
      </c>
      <c r="AA16" s="29">
        <f t="shared" si="1"/>
        <v>1512043.5946405688</v>
      </c>
      <c r="AC16" s="11">
        <f>SUMIF('ERS 2015-16'!B:B,B16,'ERS 2015-16'!AC:AC)</f>
        <v>7091.0150000000003</v>
      </c>
      <c r="AG16" s="11">
        <f t="shared" si="11"/>
        <v>-5816.2649999999994</v>
      </c>
      <c r="AH16" s="11">
        <f t="shared" si="12"/>
        <v>6902</v>
      </c>
      <c r="AK16" s="11">
        <f t="shared" si="6"/>
        <v>1503866.8446405688</v>
      </c>
      <c r="AL16" s="11">
        <f t="shared" si="7"/>
        <v>1510768.8446405688</v>
      </c>
      <c r="AO16" s="11"/>
      <c r="AP16" s="11"/>
    </row>
    <row r="17" spans="1:38" s="11" customFormat="1" x14ac:dyDescent="0.2">
      <c r="A17" s="9" t="s">
        <v>199</v>
      </c>
      <c r="B17" s="26">
        <v>2447</v>
      </c>
      <c r="C17" s="11">
        <v>1069716.0923000001</v>
      </c>
      <c r="D17" s="11">
        <v>303827.40223404201</v>
      </c>
      <c r="E17" s="11">
        <v>2508.8398110619464</v>
      </c>
      <c r="F17" s="11">
        <v>0</v>
      </c>
      <c r="G17" s="11">
        <v>13394.201174137945</v>
      </c>
      <c r="H17" s="11">
        <v>0</v>
      </c>
      <c r="I17" s="11">
        <v>100000</v>
      </c>
      <c r="J17" s="11">
        <v>0</v>
      </c>
      <c r="K17" s="11">
        <v>16269</v>
      </c>
      <c r="L17" s="11">
        <v>-9322.08</v>
      </c>
      <c r="M17" s="11">
        <v>0</v>
      </c>
      <c r="N17" s="29">
        <f t="shared" si="8"/>
        <v>1496393.455519242</v>
      </c>
      <c r="O17" s="11">
        <v>65315.506346078822</v>
      </c>
      <c r="P17" s="11">
        <v>0</v>
      </c>
      <c r="Q17" s="29">
        <f t="shared" si="9"/>
        <v>1561708.9618653208</v>
      </c>
      <c r="R17" s="11">
        <v>-32112.16</v>
      </c>
      <c r="S17" s="29">
        <f t="shared" si="10"/>
        <v>1529596.8018653209</v>
      </c>
      <c r="T17" s="11">
        <v>36565</v>
      </c>
      <c r="U17" s="11">
        <v>0</v>
      </c>
      <c r="V17" s="11">
        <v>9260.0208333333321</v>
      </c>
      <c r="X17" s="11">
        <v>0</v>
      </c>
      <c r="Y17" s="11">
        <v>131172.38378886998</v>
      </c>
      <c r="Z17" s="11">
        <v>0</v>
      </c>
      <c r="AA17" s="29">
        <f t="shared" si="1"/>
        <v>1706594.2064875241</v>
      </c>
      <c r="AC17" s="11">
        <f>SUMIF('ERS 2015-16'!B:B,B17,'ERS 2015-16'!AC:AC)</f>
        <v>0</v>
      </c>
      <c r="AG17" s="11">
        <f t="shared" si="11"/>
        <v>-9322.08</v>
      </c>
      <c r="AH17" s="11">
        <f t="shared" si="12"/>
        <v>16269</v>
      </c>
      <c r="AK17" s="11">
        <f t="shared" si="6"/>
        <v>1699647.2864875242</v>
      </c>
      <c r="AL17" s="11">
        <f t="shared" si="7"/>
        <v>1715916.2864875242</v>
      </c>
    </row>
    <row r="18" spans="1:38" s="11" customFormat="1" x14ac:dyDescent="0.2">
      <c r="A18" s="9" t="s">
        <v>23</v>
      </c>
      <c r="B18" s="26">
        <v>2512</v>
      </c>
      <c r="C18" s="11">
        <v>525922.4702000001</v>
      </c>
      <c r="D18" s="11">
        <v>41877.016109110831</v>
      </c>
      <c r="E18" s="11">
        <v>0</v>
      </c>
      <c r="F18" s="11">
        <v>0</v>
      </c>
      <c r="G18" s="11">
        <v>21033.547834090939</v>
      </c>
      <c r="H18" s="11">
        <v>0</v>
      </c>
      <c r="I18" s="11">
        <v>100000</v>
      </c>
      <c r="J18" s="11">
        <v>0</v>
      </c>
      <c r="K18" s="11">
        <v>15036.5</v>
      </c>
      <c r="L18" s="11">
        <v>-2504.9599999999991</v>
      </c>
      <c r="M18" s="11">
        <v>0</v>
      </c>
      <c r="N18" s="29">
        <f t="shared" si="8"/>
        <v>701364.57414320181</v>
      </c>
      <c r="O18" s="11">
        <v>0</v>
      </c>
      <c r="P18" s="11">
        <v>0</v>
      </c>
      <c r="Q18" s="29">
        <f t="shared" si="9"/>
        <v>701364.57414320181</v>
      </c>
      <c r="R18" s="11">
        <v>-15787.84</v>
      </c>
      <c r="S18" s="29">
        <f t="shared" si="10"/>
        <v>685576.73414320184</v>
      </c>
      <c r="T18" s="11">
        <v>5000</v>
      </c>
      <c r="U18" s="11">
        <v>0</v>
      </c>
      <c r="V18" s="11">
        <v>28530.875</v>
      </c>
      <c r="X18" s="11">
        <v>0</v>
      </c>
      <c r="Y18" s="11">
        <v>51398.891506280946</v>
      </c>
      <c r="Z18" s="11">
        <v>0</v>
      </c>
      <c r="AA18" s="29">
        <f t="shared" si="1"/>
        <v>770506.50064948283</v>
      </c>
      <c r="AC18" s="11">
        <f>SUMIF('ERS 2015-16'!B:B,B18,'ERS 2015-16'!AC:AC)</f>
        <v>0</v>
      </c>
      <c r="AG18" s="11">
        <f t="shared" si="11"/>
        <v>-2504.9599999999991</v>
      </c>
      <c r="AH18" s="11">
        <f t="shared" si="12"/>
        <v>15036.5</v>
      </c>
      <c r="AK18" s="11">
        <f t="shared" si="6"/>
        <v>757974.96064948279</v>
      </c>
      <c r="AL18" s="11">
        <f t="shared" si="7"/>
        <v>773011.46064948279</v>
      </c>
    </row>
    <row r="19" spans="1:38" s="11" customFormat="1" x14ac:dyDescent="0.2">
      <c r="A19" s="9" t="s">
        <v>24</v>
      </c>
      <c r="B19" s="26">
        <v>2456</v>
      </c>
      <c r="C19" s="11">
        <v>456990.88430000003</v>
      </c>
      <c r="D19" s="11">
        <v>22668.211106748582</v>
      </c>
      <c r="E19" s="11">
        <v>0</v>
      </c>
      <c r="F19" s="11">
        <v>0</v>
      </c>
      <c r="G19" s="11">
        <v>31911.739624999947</v>
      </c>
      <c r="H19" s="11">
        <v>0</v>
      </c>
      <c r="I19" s="11">
        <v>100000</v>
      </c>
      <c r="J19" s="11">
        <v>0</v>
      </c>
      <c r="K19" s="11">
        <v>8435</v>
      </c>
      <c r="L19" s="11">
        <v>-3459.5</v>
      </c>
      <c r="M19" s="11">
        <v>0</v>
      </c>
      <c r="N19" s="29">
        <f t="shared" si="8"/>
        <v>616546.33503174852</v>
      </c>
      <c r="O19" s="11">
        <v>0</v>
      </c>
      <c r="P19" s="11">
        <v>0</v>
      </c>
      <c r="Q19" s="29">
        <f t="shared" si="9"/>
        <v>616546.33503174852</v>
      </c>
      <c r="R19" s="11">
        <v>-13718.56</v>
      </c>
      <c r="S19" s="29">
        <f t="shared" si="10"/>
        <v>602827.77503174846</v>
      </c>
      <c r="T19" s="11">
        <v>11135</v>
      </c>
      <c r="U19" s="11">
        <v>0</v>
      </c>
      <c r="V19" s="11">
        <v>2502.7083333333335</v>
      </c>
      <c r="X19" s="11">
        <v>0</v>
      </c>
      <c r="Y19" s="11">
        <v>88989.881361080552</v>
      </c>
      <c r="Z19" s="11">
        <v>0</v>
      </c>
      <c r="AA19" s="29">
        <f t="shared" si="1"/>
        <v>705455.3647261624</v>
      </c>
      <c r="AC19" s="11">
        <f>SUMIF('ERS 2015-16'!B:B,B19,'ERS 2015-16'!AC:AC)</f>
        <v>0</v>
      </c>
      <c r="AG19" s="11">
        <f t="shared" si="11"/>
        <v>-3459.5</v>
      </c>
      <c r="AH19" s="11">
        <f t="shared" si="12"/>
        <v>8435</v>
      </c>
      <c r="AK19" s="11">
        <f t="shared" si="6"/>
        <v>700479.8647261624</v>
      </c>
      <c r="AL19" s="11">
        <f t="shared" si="7"/>
        <v>708914.8647261624</v>
      </c>
    </row>
    <row r="20" spans="1:38" s="11" customFormat="1" x14ac:dyDescent="0.2">
      <c r="A20" s="9" t="s">
        <v>25</v>
      </c>
      <c r="B20" s="26">
        <v>2449</v>
      </c>
      <c r="C20" s="11">
        <v>689315.85900000005</v>
      </c>
      <c r="D20" s="11">
        <v>111576.51203750633</v>
      </c>
      <c r="E20" s="11">
        <v>0</v>
      </c>
      <c r="F20" s="11">
        <v>0</v>
      </c>
      <c r="G20" s="11">
        <v>7701.6041999999925</v>
      </c>
      <c r="H20" s="11">
        <v>0</v>
      </c>
      <c r="I20" s="11">
        <v>100000</v>
      </c>
      <c r="J20" s="11">
        <v>0</v>
      </c>
      <c r="K20" s="11">
        <v>7148.5</v>
      </c>
      <c r="L20" s="11">
        <v>-10877.52</v>
      </c>
      <c r="M20" s="11">
        <v>0</v>
      </c>
      <c r="N20" s="29">
        <f t="shared" si="8"/>
        <v>904864.95523750631</v>
      </c>
      <c r="O20" s="11">
        <v>0</v>
      </c>
      <c r="P20" s="11">
        <v>0</v>
      </c>
      <c r="Q20" s="29">
        <f t="shared" si="9"/>
        <v>904864.95523750631</v>
      </c>
      <c r="R20" s="11">
        <v>-20692.8</v>
      </c>
      <c r="S20" s="29">
        <f t="shared" si="10"/>
        <v>884172.15523750626</v>
      </c>
      <c r="T20" s="11">
        <v>15000</v>
      </c>
      <c r="U20" s="11">
        <v>0</v>
      </c>
      <c r="V20" s="11">
        <v>19145.71875</v>
      </c>
      <c r="X20" s="11">
        <v>0</v>
      </c>
      <c r="Y20" s="11">
        <v>151786.11030038079</v>
      </c>
      <c r="Z20" s="11">
        <v>0</v>
      </c>
      <c r="AA20" s="29">
        <f t="shared" si="1"/>
        <v>1070103.9842878871</v>
      </c>
      <c r="AC20" s="11">
        <f>SUMIF('ERS 2015-16'!B:B,B20,'ERS 2015-16'!AC:AC)</f>
        <v>0</v>
      </c>
      <c r="AG20" s="11">
        <f t="shared" si="11"/>
        <v>-10877.52</v>
      </c>
      <c r="AH20" s="11">
        <f t="shared" si="12"/>
        <v>7148.5</v>
      </c>
      <c r="AK20" s="11">
        <f t="shared" si="6"/>
        <v>1073833.0042878871</v>
      </c>
      <c r="AL20" s="11">
        <f t="shared" si="7"/>
        <v>1080981.5042878871</v>
      </c>
    </row>
    <row r="21" spans="1:38" s="11" customFormat="1" x14ac:dyDescent="0.2">
      <c r="A21" s="9" t="s">
        <v>26</v>
      </c>
      <c r="B21" s="26">
        <v>2448</v>
      </c>
      <c r="C21" s="11">
        <v>852709.24780000013</v>
      </c>
      <c r="D21" s="11">
        <v>181067.27535214834</v>
      </c>
      <c r="E21" s="11">
        <v>0</v>
      </c>
      <c r="F21" s="11">
        <v>0</v>
      </c>
      <c r="G21" s="11">
        <v>2590.4690864048339</v>
      </c>
      <c r="H21" s="11">
        <v>0</v>
      </c>
      <c r="I21" s="11">
        <v>100000</v>
      </c>
      <c r="J21" s="11">
        <v>0</v>
      </c>
      <c r="K21" s="11">
        <v>7148.5</v>
      </c>
      <c r="L21" s="11">
        <v>-10954.189999999999</v>
      </c>
      <c r="M21" s="11">
        <v>0</v>
      </c>
      <c r="N21" s="29">
        <f t="shared" si="8"/>
        <v>1132561.3022385533</v>
      </c>
      <c r="O21" s="11">
        <v>0</v>
      </c>
      <c r="P21" s="11">
        <v>0</v>
      </c>
      <c r="Q21" s="29">
        <f t="shared" si="9"/>
        <v>1132561.3022385533</v>
      </c>
      <c r="R21" s="11">
        <v>-25597.759999999998</v>
      </c>
      <c r="S21" s="29">
        <f t="shared" si="10"/>
        <v>1106963.5422385533</v>
      </c>
      <c r="T21" s="11">
        <v>0</v>
      </c>
      <c r="U21" s="11">
        <v>0</v>
      </c>
      <c r="V21" s="11">
        <v>27029.25</v>
      </c>
      <c r="X21" s="11">
        <v>0</v>
      </c>
      <c r="Y21" s="11">
        <v>0</v>
      </c>
      <c r="Z21" s="11">
        <v>0</v>
      </c>
      <c r="AA21" s="29">
        <f t="shared" si="1"/>
        <v>1133992.7922385533</v>
      </c>
      <c r="AC21" s="11">
        <f>SUMIF('ERS 2015-16'!B:B,B21,'ERS 2015-16'!AC:AC)</f>
        <v>0</v>
      </c>
      <c r="AG21" s="11">
        <f t="shared" si="11"/>
        <v>-10954.189999999999</v>
      </c>
      <c r="AH21" s="11">
        <f t="shared" si="12"/>
        <v>7148.5</v>
      </c>
      <c r="AK21" s="11">
        <f t="shared" si="6"/>
        <v>1137798.4822385532</v>
      </c>
      <c r="AL21" s="11">
        <f t="shared" si="7"/>
        <v>1144946.9822385532</v>
      </c>
    </row>
    <row r="22" spans="1:38" s="11" customFormat="1" x14ac:dyDescent="0.2">
      <c r="A22" s="9" t="s">
        <v>126</v>
      </c>
      <c r="B22" s="26">
        <v>2467</v>
      </c>
      <c r="C22" s="11">
        <v>891004.57330000005</v>
      </c>
      <c r="D22" s="11">
        <v>168762.83605330973</v>
      </c>
      <c r="E22" s="11">
        <v>0</v>
      </c>
      <c r="F22" s="11">
        <v>0</v>
      </c>
      <c r="G22" s="11">
        <v>5799.0504116504735</v>
      </c>
      <c r="H22" s="11">
        <v>0</v>
      </c>
      <c r="I22" s="11">
        <v>100000</v>
      </c>
      <c r="J22" s="11">
        <v>0</v>
      </c>
      <c r="K22" s="11">
        <v>11092.5</v>
      </c>
      <c r="L22" s="11">
        <v>-10658.199999999999</v>
      </c>
      <c r="M22" s="11">
        <v>0</v>
      </c>
      <c r="N22" s="29">
        <f t="shared" si="8"/>
        <v>1166000.7597649603</v>
      </c>
      <c r="O22" s="11">
        <v>61765.834184337873</v>
      </c>
      <c r="P22" s="11">
        <v>0</v>
      </c>
      <c r="Q22" s="29">
        <f t="shared" si="9"/>
        <v>1227766.5939492981</v>
      </c>
      <c r="R22" s="11">
        <v>-26747.360000000001</v>
      </c>
      <c r="S22" s="29">
        <f t="shared" si="10"/>
        <v>1201019.233949298</v>
      </c>
      <c r="T22" s="11">
        <v>32700</v>
      </c>
      <c r="U22" s="11">
        <v>0</v>
      </c>
      <c r="V22" s="11">
        <v>0</v>
      </c>
      <c r="X22" s="11">
        <v>0</v>
      </c>
      <c r="Y22" s="11">
        <v>92296.826020809182</v>
      </c>
      <c r="Z22" s="11">
        <v>0</v>
      </c>
      <c r="AA22" s="29">
        <f t="shared" si="1"/>
        <v>1326016.0599701072</v>
      </c>
      <c r="AC22" s="11">
        <f>SUMIF('ERS 2015-16'!B:B,B22,'ERS 2015-16'!AC:AC)</f>
        <v>0</v>
      </c>
      <c r="AG22" s="11">
        <f t="shared" si="11"/>
        <v>-10658.199999999999</v>
      </c>
      <c r="AH22" s="11">
        <f t="shared" si="12"/>
        <v>11092.5</v>
      </c>
      <c r="AK22" s="11">
        <f t="shared" si="6"/>
        <v>1325581.7599701071</v>
      </c>
      <c r="AL22" s="11">
        <f t="shared" si="7"/>
        <v>1336674.2599701071</v>
      </c>
    </row>
    <row r="23" spans="1:38" s="11" customFormat="1" x14ac:dyDescent="0.2">
      <c r="A23" s="9" t="s">
        <v>28</v>
      </c>
      <c r="B23" s="26">
        <v>2455</v>
      </c>
      <c r="C23" s="11">
        <v>896110.61670000013</v>
      </c>
      <c r="D23" s="11">
        <v>74577.835326767105</v>
      </c>
      <c r="E23" s="11">
        <v>1326.7571555865923</v>
      </c>
      <c r="F23" s="11">
        <v>0</v>
      </c>
      <c r="G23" s="11">
        <v>14119.607699999997</v>
      </c>
      <c r="H23" s="11">
        <v>0</v>
      </c>
      <c r="I23" s="11">
        <v>100000</v>
      </c>
      <c r="J23" s="11">
        <v>0</v>
      </c>
      <c r="K23" s="11">
        <v>24650</v>
      </c>
      <c r="L23" s="11">
        <v>-4880.29</v>
      </c>
      <c r="M23" s="11">
        <v>0</v>
      </c>
      <c r="N23" s="29">
        <f t="shared" si="8"/>
        <v>1105904.5268823537</v>
      </c>
      <c r="O23" s="11">
        <v>0</v>
      </c>
      <c r="P23" s="11">
        <v>0</v>
      </c>
      <c r="Q23" s="29">
        <f t="shared" si="9"/>
        <v>1105904.5268823537</v>
      </c>
      <c r="R23" s="11">
        <v>-26900.639999999999</v>
      </c>
      <c r="S23" s="29">
        <f t="shared" si="10"/>
        <v>1079003.8868823538</v>
      </c>
      <c r="T23" s="11">
        <v>23405</v>
      </c>
      <c r="U23" s="11">
        <v>0</v>
      </c>
      <c r="V23" s="11">
        <v>1251.3541666666667</v>
      </c>
      <c r="X23" s="11">
        <v>0</v>
      </c>
      <c r="Y23" s="11">
        <v>0</v>
      </c>
      <c r="Z23" s="11">
        <v>0</v>
      </c>
      <c r="AA23" s="29">
        <f t="shared" si="1"/>
        <v>1103660.2410490206</v>
      </c>
      <c r="AC23" s="11">
        <f>SUMIF('ERS 2015-16'!B:B,B23,'ERS 2015-16'!AC:AC)</f>
        <v>0</v>
      </c>
      <c r="AG23" s="11">
        <f t="shared" si="11"/>
        <v>-4880.29</v>
      </c>
      <c r="AH23" s="11">
        <f t="shared" si="12"/>
        <v>24650</v>
      </c>
      <c r="AK23" s="11">
        <f t="shared" si="6"/>
        <v>1083890.5310490206</v>
      </c>
      <c r="AL23" s="11">
        <f t="shared" si="7"/>
        <v>1108540.5310490206</v>
      </c>
    </row>
    <row r="24" spans="1:38" s="11" customFormat="1" x14ac:dyDescent="0.2">
      <c r="A24" s="9" t="s">
        <v>29</v>
      </c>
      <c r="B24" s="26">
        <v>5203</v>
      </c>
      <c r="C24" s="11">
        <v>1238215.5245000001</v>
      </c>
      <c r="D24" s="11">
        <v>130520.16364530743</v>
      </c>
      <c r="E24" s="11">
        <v>2728.9401226611226</v>
      </c>
      <c r="F24" s="11">
        <v>0</v>
      </c>
      <c r="G24" s="11">
        <v>9452.0493229813637</v>
      </c>
      <c r="H24" s="11">
        <v>0</v>
      </c>
      <c r="I24" s="11">
        <v>100000</v>
      </c>
      <c r="J24" s="11">
        <v>0</v>
      </c>
      <c r="K24" s="11">
        <v>4782.0999999999985</v>
      </c>
      <c r="L24" s="11">
        <v>-76.048000000002503</v>
      </c>
      <c r="M24" s="11">
        <v>0</v>
      </c>
      <c r="N24" s="29">
        <f t="shared" si="8"/>
        <v>1485622.7295909503</v>
      </c>
      <c r="O24" s="11">
        <v>0</v>
      </c>
      <c r="P24" s="11">
        <v>0</v>
      </c>
      <c r="Q24" s="29">
        <f t="shared" si="9"/>
        <v>1485622.7295909503</v>
      </c>
      <c r="R24" s="11">
        <v>-37170.400000000001</v>
      </c>
      <c r="S24" s="29">
        <f t="shared" si="10"/>
        <v>1448452.3295909504</v>
      </c>
      <c r="T24" s="11">
        <v>0</v>
      </c>
      <c r="U24" s="11">
        <v>0</v>
      </c>
      <c r="V24" s="11">
        <v>24276.270833333336</v>
      </c>
      <c r="X24" s="11">
        <v>0</v>
      </c>
      <c r="Y24" s="11">
        <v>0</v>
      </c>
      <c r="Z24" s="11">
        <v>0</v>
      </c>
      <c r="AA24" s="29">
        <f t="shared" si="1"/>
        <v>1472728.6004242836</v>
      </c>
      <c r="AC24" s="11">
        <f>SUMIF('ERS 2015-16'!B:B,B24,'ERS 2015-16'!AC:AC)</f>
        <v>0</v>
      </c>
      <c r="AG24" s="11">
        <f t="shared" si="11"/>
        <v>-76.048000000002503</v>
      </c>
      <c r="AH24" s="11">
        <f t="shared" si="12"/>
        <v>4782.0999999999985</v>
      </c>
      <c r="AK24" s="11">
        <f t="shared" si="6"/>
        <v>1468022.5484242835</v>
      </c>
      <c r="AL24" s="11">
        <f t="shared" si="7"/>
        <v>1472804.6484242836</v>
      </c>
    </row>
    <row r="25" spans="1:38" s="11" customFormat="1" x14ac:dyDescent="0.2">
      <c r="A25" s="9" t="s">
        <v>30</v>
      </c>
      <c r="B25" s="26">
        <v>2451</v>
      </c>
      <c r="C25" s="11">
        <v>1205026.2424000001</v>
      </c>
      <c r="D25" s="11">
        <v>155958.95554850169</v>
      </c>
      <c r="E25" s="11">
        <v>1361.8726703624734</v>
      </c>
      <c r="F25" s="11">
        <v>0</v>
      </c>
      <c r="G25" s="11">
        <v>6119.7932363636555</v>
      </c>
      <c r="H25" s="11">
        <v>0</v>
      </c>
      <c r="I25" s="11">
        <v>100000</v>
      </c>
      <c r="J25" s="11">
        <v>0</v>
      </c>
      <c r="K25" s="11">
        <v>22431.5</v>
      </c>
      <c r="L25" s="11">
        <v>-6328.7499999999991</v>
      </c>
      <c r="M25" s="11">
        <v>0</v>
      </c>
      <c r="N25" s="29">
        <f t="shared" si="8"/>
        <v>1484569.6138552281</v>
      </c>
      <c r="O25" s="11">
        <v>0</v>
      </c>
      <c r="P25" s="11">
        <v>0</v>
      </c>
      <c r="Q25" s="29">
        <f t="shared" si="9"/>
        <v>1484569.6138552281</v>
      </c>
      <c r="R25" s="11">
        <v>-36174.080000000002</v>
      </c>
      <c r="S25" s="29">
        <f t="shared" si="10"/>
        <v>1448395.533855228</v>
      </c>
      <c r="T25" s="11">
        <v>30890</v>
      </c>
      <c r="U25" s="11">
        <v>0</v>
      </c>
      <c r="V25" s="11">
        <v>21022.75</v>
      </c>
      <c r="X25" s="11">
        <v>0</v>
      </c>
      <c r="Y25" s="11">
        <v>111914.33087022565</v>
      </c>
      <c r="Z25" s="11">
        <v>0</v>
      </c>
      <c r="AA25" s="29">
        <f t="shared" si="1"/>
        <v>1612222.6147254535</v>
      </c>
      <c r="AC25" s="11">
        <f>SUMIF('ERS 2015-16'!B:B,B25,'ERS 2015-16'!AC:AC)</f>
        <v>0</v>
      </c>
      <c r="AG25" s="11">
        <f t="shared" si="11"/>
        <v>-6328.7499999999991</v>
      </c>
      <c r="AH25" s="11">
        <f t="shared" si="12"/>
        <v>22431.5</v>
      </c>
      <c r="AK25" s="11">
        <f t="shared" si="6"/>
        <v>1596119.8647254535</v>
      </c>
      <c r="AL25" s="11">
        <f t="shared" si="7"/>
        <v>1618551.3647254535</v>
      </c>
    </row>
    <row r="26" spans="1:38" s="11" customFormat="1" x14ac:dyDescent="0.2">
      <c r="A26" s="9" t="s">
        <v>31</v>
      </c>
      <c r="B26" s="26">
        <v>2409</v>
      </c>
      <c r="C26" s="11">
        <v>1409267.9784000001</v>
      </c>
      <c r="D26" s="11">
        <v>315355.06563694391</v>
      </c>
      <c r="E26" s="11">
        <v>0</v>
      </c>
      <c r="F26" s="11">
        <v>0</v>
      </c>
      <c r="G26" s="11">
        <v>161441.22221772143</v>
      </c>
      <c r="H26" s="11">
        <v>2159.4239999997394</v>
      </c>
      <c r="I26" s="11">
        <v>100000</v>
      </c>
      <c r="J26" s="11">
        <v>0</v>
      </c>
      <c r="K26" s="11">
        <v>29333.5</v>
      </c>
      <c r="L26" s="11">
        <v>-16327.36</v>
      </c>
      <c r="M26" s="11">
        <v>0</v>
      </c>
      <c r="N26" s="29">
        <f t="shared" si="8"/>
        <v>2001229.8302546649</v>
      </c>
      <c r="O26" s="11">
        <v>141146.43394155917</v>
      </c>
      <c r="P26" s="11">
        <v>0</v>
      </c>
      <c r="Q26" s="29">
        <f t="shared" si="9"/>
        <v>2142376.264196224</v>
      </c>
      <c r="R26" s="11">
        <v>-42305.279999999999</v>
      </c>
      <c r="S26" s="29">
        <f t="shared" si="10"/>
        <v>2100070.9841962242</v>
      </c>
      <c r="T26" s="11">
        <v>32025</v>
      </c>
      <c r="U26" s="11">
        <v>0</v>
      </c>
      <c r="V26" s="11">
        <v>19521.125</v>
      </c>
      <c r="X26" s="11">
        <v>0</v>
      </c>
      <c r="Y26" s="11">
        <v>0</v>
      </c>
      <c r="Z26" s="11">
        <v>0</v>
      </c>
      <c r="AA26" s="29">
        <f t="shared" si="1"/>
        <v>2151617.1091962242</v>
      </c>
      <c r="AC26" s="11">
        <f>SUMIF('ERS 2015-16'!B:B,B26,'ERS 2015-16'!AC:AC)</f>
        <v>0</v>
      </c>
      <c r="AG26" s="11">
        <f t="shared" si="11"/>
        <v>-16327.36</v>
      </c>
      <c r="AH26" s="11">
        <f t="shared" si="12"/>
        <v>29333.5</v>
      </c>
      <c r="AK26" s="11">
        <f t="shared" si="6"/>
        <v>2138610.9691962241</v>
      </c>
      <c r="AL26" s="11">
        <f t="shared" si="7"/>
        <v>2167944.4691962241</v>
      </c>
    </row>
    <row r="27" spans="1:38" s="11" customFormat="1" x14ac:dyDescent="0.2">
      <c r="A27" s="9" t="s">
        <v>98</v>
      </c>
      <c r="B27" s="26">
        <v>3158</v>
      </c>
      <c r="C27" s="11">
        <v>306362.60400000005</v>
      </c>
      <c r="D27" s="11">
        <v>69939.948557660158</v>
      </c>
      <c r="E27" s="11">
        <v>0</v>
      </c>
      <c r="F27" s="11">
        <v>0</v>
      </c>
      <c r="G27" s="11">
        <v>93702.8511</v>
      </c>
      <c r="H27" s="11">
        <v>0</v>
      </c>
      <c r="I27" s="11">
        <v>100000</v>
      </c>
      <c r="J27" s="11">
        <v>0</v>
      </c>
      <c r="K27" s="11">
        <v>1036.3000000000002</v>
      </c>
      <c r="L27" s="11">
        <v>-1696.6439999999998</v>
      </c>
      <c r="M27" s="11">
        <v>0</v>
      </c>
      <c r="N27" s="29">
        <f t="shared" si="8"/>
        <v>569345.05965766031</v>
      </c>
      <c r="O27" s="11">
        <v>0</v>
      </c>
      <c r="P27" s="11">
        <v>0</v>
      </c>
      <c r="Q27" s="29">
        <f t="shared" si="9"/>
        <v>569345.05965766031</v>
      </c>
      <c r="R27" s="11">
        <v>-9196.7999999999993</v>
      </c>
      <c r="S27" s="29">
        <f t="shared" si="10"/>
        <v>560148.25965766027</v>
      </c>
      <c r="T27" s="11">
        <v>32700</v>
      </c>
      <c r="U27" s="11">
        <v>0</v>
      </c>
      <c r="V27" s="11">
        <v>0</v>
      </c>
      <c r="X27" s="11">
        <v>0</v>
      </c>
      <c r="Y27" s="11">
        <v>104163.0348652923</v>
      </c>
      <c r="Z27" s="11">
        <v>0</v>
      </c>
      <c r="AA27" s="29">
        <f t="shared" si="1"/>
        <v>697011.29452295252</v>
      </c>
      <c r="AC27" s="11">
        <f>SUMIF('ERS 2015-16'!B:B,B27,'ERS 2015-16'!AC:AC)</f>
        <v>0</v>
      </c>
      <c r="AG27" s="11">
        <f t="shared" si="11"/>
        <v>-1696.6439999999998</v>
      </c>
      <c r="AH27" s="11">
        <f t="shared" si="12"/>
        <v>1036.3000000000002</v>
      </c>
      <c r="AK27" s="11">
        <f t="shared" si="6"/>
        <v>697671.63852295245</v>
      </c>
      <c r="AL27" s="11">
        <f t="shared" si="7"/>
        <v>698707.93852295249</v>
      </c>
    </row>
    <row r="28" spans="1:38" s="11" customFormat="1" x14ac:dyDescent="0.2">
      <c r="A28" s="9" t="s">
        <v>32</v>
      </c>
      <c r="B28" s="26">
        <v>2619</v>
      </c>
      <c r="C28" s="11">
        <v>520816.42680000007</v>
      </c>
      <c r="D28" s="11">
        <v>277337.15400364815</v>
      </c>
      <c r="E28" s="11">
        <v>1380.2810339999999</v>
      </c>
      <c r="F28" s="11">
        <v>0</v>
      </c>
      <c r="G28" s="11">
        <v>12250.504926315783</v>
      </c>
      <c r="H28" s="11">
        <v>0</v>
      </c>
      <c r="I28" s="11">
        <v>100000</v>
      </c>
      <c r="J28" s="11">
        <v>0</v>
      </c>
      <c r="K28" s="11">
        <v>20089.75</v>
      </c>
      <c r="L28" s="11">
        <v>-24990.29</v>
      </c>
      <c r="M28" s="11">
        <v>0</v>
      </c>
      <c r="N28" s="29">
        <f t="shared" si="8"/>
        <v>906883.82676396391</v>
      </c>
      <c r="O28" s="11">
        <v>0</v>
      </c>
      <c r="P28" s="11">
        <v>0</v>
      </c>
      <c r="Q28" s="29">
        <f t="shared" si="9"/>
        <v>906883.82676396391</v>
      </c>
      <c r="R28" s="11">
        <v>-15634.56</v>
      </c>
      <c r="S28" s="29">
        <f t="shared" si="10"/>
        <v>891249.26676396385</v>
      </c>
      <c r="T28" s="11">
        <v>41780</v>
      </c>
      <c r="U28" s="11">
        <v>0</v>
      </c>
      <c r="V28" s="11">
        <v>13514.625</v>
      </c>
      <c r="X28" s="11">
        <v>0</v>
      </c>
      <c r="Y28" s="11">
        <v>79135.189495636834</v>
      </c>
      <c r="Z28" s="11">
        <v>0</v>
      </c>
      <c r="AA28" s="29">
        <f t="shared" si="1"/>
        <v>1025679.0812596007</v>
      </c>
      <c r="AC28" s="11">
        <f>SUMIF('ERS 2015-16'!B:B,B28,'ERS 2015-16'!AC:AC)</f>
        <v>0</v>
      </c>
      <c r="AG28" s="11">
        <f t="shared" si="11"/>
        <v>-24990.29</v>
      </c>
      <c r="AH28" s="11">
        <f t="shared" si="12"/>
        <v>20089.75</v>
      </c>
      <c r="AK28" s="11">
        <f t="shared" si="6"/>
        <v>1030579.6212596007</v>
      </c>
      <c r="AL28" s="11">
        <f t="shared" si="7"/>
        <v>1050669.3712596009</v>
      </c>
    </row>
    <row r="29" spans="1:38" s="11" customFormat="1" x14ac:dyDescent="0.2">
      <c r="A29" s="9" t="s">
        <v>33</v>
      </c>
      <c r="B29" s="26">
        <v>2518</v>
      </c>
      <c r="C29" s="11">
        <v>868027.37800000003</v>
      </c>
      <c r="D29" s="11">
        <v>318739.53591785935</v>
      </c>
      <c r="E29" s="11">
        <v>0</v>
      </c>
      <c r="F29" s="11">
        <v>0</v>
      </c>
      <c r="G29" s="11">
        <v>140944.3905882354</v>
      </c>
      <c r="H29" s="11">
        <v>86376.960000000021</v>
      </c>
      <c r="I29" s="11">
        <v>100000</v>
      </c>
      <c r="J29" s="11">
        <v>0</v>
      </c>
      <c r="K29" s="11">
        <v>8073.5</v>
      </c>
      <c r="L29" s="11">
        <v>-13847.71</v>
      </c>
      <c r="M29" s="11">
        <v>0</v>
      </c>
      <c r="N29" s="29">
        <f t="shared" si="8"/>
        <v>1508314.0545060947</v>
      </c>
      <c r="O29" s="11">
        <v>0</v>
      </c>
      <c r="P29" s="11">
        <v>0</v>
      </c>
      <c r="Q29" s="29">
        <f t="shared" si="9"/>
        <v>1508314.0545060947</v>
      </c>
      <c r="R29" s="11">
        <v>-26057.599999999999</v>
      </c>
      <c r="S29" s="29">
        <f t="shared" si="10"/>
        <v>1482256.4545060946</v>
      </c>
      <c r="T29" s="11">
        <v>23620</v>
      </c>
      <c r="U29" s="11">
        <v>0</v>
      </c>
      <c r="V29" s="11">
        <v>13514.625</v>
      </c>
      <c r="X29" s="11">
        <v>0</v>
      </c>
      <c r="Y29" s="11">
        <v>34200.814568610869</v>
      </c>
      <c r="Z29" s="11">
        <v>0</v>
      </c>
      <c r="AA29" s="29">
        <f t="shared" si="1"/>
        <v>1553591.8940747054</v>
      </c>
      <c r="AC29" s="11">
        <f>SUMIF('ERS 2015-16'!B:B,B29,'ERS 2015-16'!AC:AC)</f>
        <v>0</v>
      </c>
      <c r="AG29" s="11">
        <f t="shared" si="11"/>
        <v>-13847.71</v>
      </c>
      <c r="AH29" s="11">
        <f t="shared" si="12"/>
        <v>8073.5</v>
      </c>
      <c r="AK29" s="11">
        <f t="shared" si="6"/>
        <v>1559366.1040747054</v>
      </c>
      <c r="AL29" s="11">
        <f t="shared" si="7"/>
        <v>1567439.6040747054</v>
      </c>
    </row>
    <row r="30" spans="1:38" s="11" customFormat="1" x14ac:dyDescent="0.2">
      <c r="A30" s="9" t="s">
        <v>34</v>
      </c>
      <c r="B30" s="26">
        <v>2457</v>
      </c>
      <c r="C30" s="11">
        <v>924193.85540000012</v>
      </c>
      <c r="D30" s="11">
        <v>145426.3390237166</v>
      </c>
      <c r="E30" s="11">
        <v>4015.2823393442623</v>
      </c>
      <c r="F30" s="11">
        <v>0</v>
      </c>
      <c r="G30" s="11">
        <v>24816.280200000016</v>
      </c>
      <c r="H30" s="11">
        <v>0</v>
      </c>
      <c r="I30" s="11">
        <v>100000</v>
      </c>
      <c r="J30" s="11">
        <v>0</v>
      </c>
      <c r="K30" s="11">
        <v>15652.75</v>
      </c>
      <c r="L30" s="11">
        <v>-22508.58</v>
      </c>
      <c r="M30" s="11">
        <v>0</v>
      </c>
      <c r="N30" s="29">
        <f t="shared" si="8"/>
        <v>1191595.9269630609</v>
      </c>
      <c r="O30" s="11">
        <v>0</v>
      </c>
      <c r="P30" s="11">
        <v>0</v>
      </c>
      <c r="Q30" s="29">
        <f t="shared" si="9"/>
        <v>1191595.9269630609</v>
      </c>
      <c r="R30" s="11">
        <v>-27743.68</v>
      </c>
      <c r="S30" s="29">
        <f t="shared" si="10"/>
        <v>1163852.2469630609</v>
      </c>
      <c r="T30" s="11">
        <v>0</v>
      </c>
      <c r="U30" s="11">
        <v>0</v>
      </c>
      <c r="V30" s="11">
        <v>5005.416666666667</v>
      </c>
      <c r="X30" s="11">
        <v>0</v>
      </c>
      <c r="Y30" s="11">
        <v>0</v>
      </c>
      <c r="Z30" s="11">
        <v>0</v>
      </c>
      <c r="AA30" s="29">
        <f t="shared" si="1"/>
        <v>1168857.6636297277</v>
      </c>
      <c r="AC30" s="11">
        <f>SUMIF('ERS 2015-16'!B:B,B30,'ERS 2015-16'!AC:AC)</f>
        <v>0</v>
      </c>
      <c r="AG30" s="11">
        <f t="shared" si="11"/>
        <v>-22508.58</v>
      </c>
      <c r="AH30" s="11">
        <f t="shared" si="12"/>
        <v>15652.75</v>
      </c>
      <c r="AK30" s="11">
        <f t="shared" si="6"/>
        <v>1175713.4936297277</v>
      </c>
      <c r="AL30" s="11">
        <f t="shared" si="7"/>
        <v>1191366.2436297277</v>
      </c>
    </row>
    <row r="31" spans="1:38" s="11" customFormat="1" x14ac:dyDescent="0.2">
      <c r="A31" s="9" t="s">
        <v>99</v>
      </c>
      <c r="B31" s="26">
        <v>2010</v>
      </c>
      <c r="C31" s="11">
        <v>520816.42680000007</v>
      </c>
      <c r="D31" s="11">
        <v>189724.10783986718</v>
      </c>
      <c r="E31" s="11">
        <v>0</v>
      </c>
      <c r="F31" s="11">
        <v>0</v>
      </c>
      <c r="G31" s="11">
        <v>29433.262562790747</v>
      </c>
      <c r="H31" s="11">
        <v>0</v>
      </c>
      <c r="I31" s="11">
        <v>100000</v>
      </c>
      <c r="J31" s="11">
        <v>0</v>
      </c>
      <c r="K31" s="11">
        <v>2933.3499999999985</v>
      </c>
      <c r="L31" s="11">
        <v>0</v>
      </c>
      <c r="M31" s="11">
        <v>0</v>
      </c>
      <c r="N31" s="29">
        <f t="shared" si="8"/>
        <v>842907.147202658</v>
      </c>
      <c r="O31" s="11">
        <v>73291.563901165966</v>
      </c>
      <c r="P31" s="11">
        <v>0</v>
      </c>
      <c r="Q31" s="29">
        <f t="shared" si="9"/>
        <v>916198.71110382397</v>
      </c>
      <c r="R31" s="11">
        <v>0</v>
      </c>
      <c r="S31" s="29">
        <f t="shared" si="10"/>
        <v>916198.71110382397</v>
      </c>
      <c r="T31" s="11">
        <v>41780</v>
      </c>
      <c r="U31" s="11">
        <v>0</v>
      </c>
      <c r="V31" s="11">
        <v>31534.125</v>
      </c>
      <c r="X31" s="11">
        <v>0</v>
      </c>
      <c r="Y31" s="11">
        <v>77238.924303766311</v>
      </c>
      <c r="Z31" s="11">
        <v>0</v>
      </c>
      <c r="AA31" s="29">
        <f t="shared" si="1"/>
        <v>1066751.7604075903</v>
      </c>
      <c r="AC31" s="11">
        <f>SUMIF('ERS 2015-16'!B:B,B31,'ERS 2015-16'!AC:AC)</f>
        <v>0</v>
      </c>
      <c r="AG31" s="11">
        <f t="shared" si="11"/>
        <v>0</v>
      </c>
      <c r="AH31" s="11">
        <f t="shared" si="12"/>
        <v>2933.3499999999985</v>
      </c>
      <c r="AK31" s="11">
        <f t="shared" si="6"/>
        <v>1063818.4104075902</v>
      </c>
      <c r="AL31" s="11">
        <f t="shared" si="7"/>
        <v>1066751.7604075903</v>
      </c>
    </row>
    <row r="32" spans="1:38" s="11" customFormat="1" x14ac:dyDescent="0.2">
      <c r="A32" s="9" t="s">
        <v>35</v>
      </c>
      <c r="B32" s="26">
        <v>2002</v>
      </c>
      <c r="C32" s="11">
        <v>1097799.331</v>
      </c>
      <c r="D32" s="11">
        <v>59067.558048394865</v>
      </c>
      <c r="E32" s="11">
        <v>1346.9518078703702</v>
      </c>
      <c r="F32" s="11">
        <v>0</v>
      </c>
      <c r="G32" s="11">
        <v>16042.094125340596</v>
      </c>
      <c r="H32" s="11">
        <v>0</v>
      </c>
      <c r="I32" s="11">
        <v>100000</v>
      </c>
      <c r="J32" s="11">
        <v>0</v>
      </c>
      <c r="K32" s="11">
        <v>43137.5</v>
      </c>
      <c r="L32" s="11">
        <v>-10780.519999999997</v>
      </c>
      <c r="M32" s="11">
        <v>0</v>
      </c>
      <c r="N32" s="29">
        <f t="shared" si="8"/>
        <v>1306612.914981606</v>
      </c>
      <c r="O32" s="11">
        <v>0</v>
      </c>
      <c r="P32" s="11">
        <v>0</v>
      </c>
      <c r="Q32" s="29">
        <f t="shared" si="9"/>
        <v>1306612.914981606</v>
      </c>
      <c r="R32" s="11">
        <v>-32955.199999999997</v>
      </c>
      <c r="S32" s="29">
        <f t="shared" si="10"/>
        <v>1273657.714981606</v>
      </c>
      <c r="T32" s="11">
        <v>47915</v>
      </c>
      <c r="U32" s="11">
        <v>0</v>
      </c>
      <c r="V32" s="11">
        <v>82589.375</v>
      </c>
      <c r="X32" s="11">
        <v>0</v>
      </c>
      <c r="Y32" s="11">
        <v>99006.92575078056</v>
      </c>
      <c r="Z32" s="11">
        <v>0</v>
      </c>
      <c r="AA32" s="29">
        <f t="shared" si="1"/>
        <v>1503169.0157323866</v>
      </c>
      <c r="AC32" s="11">
        <f>SUMIF('ERS 2015-16'!B:B,B32,'ERS 2015-16'!AC:AC)</f>
        <v>0</v>
      </c>
      <c r="AG32" s="11">
        <f t="shared" si="11"/>
        <v>-10780.519999999997</v>
      </c>
      <c r="AH32" s="11">
        <f t="shared" si="12"/>
        <v>43137.5</v>
      </c>
      <c r="AK32" s="11">
        <f t="shared" si="6"/>
        <v>1470812.0357323866</v>
      </c>
      <c r="AL32" s="11">
        <f t="shared" si="7"/>
        <v>1513949.5357323866</v>
      </c>
    </row>
    <row r="33" spans="1:38" s="11" customFormat="1" x14ac:dyDescent="0.2">
      <c r="A33" s="9" t="s">
        <v>36</v>
      </c>
      <c r="B33" s="26">
        <v>3544</v>
      </c>
      <c r="C33" s="11">
        <v>1370972.6529000001</v>
      </c>
      <c r="D33" s="11">
        <v>437509.37591966859</v>
      </c>
      <c r="E33" s="11">
        <v>8074.1929766666663</v>
      </c>
      <c r="F33" s="11">
        <v>0</v>
      </c>
      <c r="G33" s="11">
        <v>235063.0782943395</v>
      </c>
      <c r="H33" s="11">
        <v>0</v>
      </c>
      <c r="I33" s="11">
        <v>100000</v>
      </c>
      <c r="J33" s="11">
        <v>0</v>
      </c>
      <c r="K33" s="11">
        <v>57188</v>
      </c>
      <c r="L33" s="11">
        <v>-68907.740000000005</v>
      </c>
      <c r="M33" s="11">
        <v>129503</v>
      </c>
      <c r="N33" s="29">
        <f t="shared" si="8"/>
        <v>2269402.5600906746</v>
      </c>
      <c r="O33" s="11">
        <v>40396.117477437016</v>
      </c>
      <c r="P33" s="11">
        <v>0</v>
      </c>
      <c r="Q33" s="29">
        <f t="shared" si="9"/>
        <v>2309798.6775681116</v>
      </c>
      <c r="R33" s="11">
        <v>-41155.68</v>
      </c>
      <c r="S33" s="29">
        <f t="shared" si="10"/>
        <v>2268642.9975681114</v>
      </c>
      <c r="T33" s="11">
        <v>10000</v>
      </c>
      <c r="U33" s="11">
        <v>0</v>
      </c>
      <c r="V33" s="11">
        <v>36039</v>
      </c>
      <c r="X33" s="11">
        <v>0</v>
      </c>
      <c r="Y33" s="11">
        <v>124491.18664708236</v>
      </c>
      <c r="Z33" s="11">
        <v>0</v>
      </c>
      <c r="AA33" s="29">
        <f t="shared" si="1"/>
        <v>2439173.1842151936</v>
      </c>
      <c r="AC33" s="11">
        <f>SUMIF('ERS 2015-16'!B:B,B33,'ERS 2015-16'!AC:AC)</f>
        <v>0</v>
      </c>
      <c r="AG33" s="11">
        <f t="shared" si="11"/>
        <v>-68907.740000000005</v>
      </c>
      <c r="AH33" s="11">
        <f t="shared" si="12"/>
        <v>57188</v>
      </c>
      <c r="AK33" s="11">
        <f t="shared" si="6"/>
        <v>2450892.9242151938</v>
      </c>
      <c r="AL33" s="11">
        <f t="shared" si="7"/>
        <v>2508080.9242151938</v>
      </c>
    </row>
    <row r="34" spans="1:38" s="11" customFormat="1" x14ac:dyDescent="0.2">
      <c r="A34" s="9" t="s">
        <v>100</v>
      </c>
      <c r="B34" s="26">
        <v>2006</v>
      </c>
      <c r="C34" s="11">
        <v>671444.70710000012</v>
      </c>
      <c r="D34" s="11">
        <v>15617.155996870268</v>
      </c>
      <c r="E34" s="11">
        <v>1429.3011730923693</v>
      </c>
      <c r="F34" s="11">
        <v>0</v>
      </c>
      <c r="G34" s="11">
        <v>5185.6679585253496</v>
      </c>
      <c r="H34" s="11">
        <v>0</v>
      </c>
      <c r="I34" s="11">
        <v>100000</v>
      </c>
      <c r="J34" s="11">
        <v>0</v>
      </c>
      <c r="K34" s="11">
        <v>25389.5</v>
      </c>
      <c r="L34" s="11">
        <v>-10811.75</v>
      </c>
      <c r="M34" s="11">
        <v>0</v>
      </c>
      <c r="N34" s="29">
        <f t="shared" si="8"/>
        <v>808254.58222848806</v>
      </c>
      <c r="O34" s="11">
        <v>26463.304329274339</v>
      </c>
      <c r="P34" s="11">
        <v>0</v>
      </c>
      <c r="Q34" s="29">
        <f t="shared" si="9"/>
        <v>834717.88655776239</v>
      </c>
      <c r="R34" s="11">
        <v>-20156.32</v>
      </c>
      <c r="S34" s="29">
        <f t="shared" si="10"/>
        <v>814561.56655776245</v>
      </c>
      <c r="T34" s="11">
        <v>28160</v>
      </c>
      <c r="U34" s="11">
        <v>0</v>
      </c>
      <c r="V34" s="11">
        <v>67573.125</v>
      </c>
      <c r="X34" s="11">
        <v>0</v>
      </c>
      <c r="Y34" s="11">
        <v>101006.6581457742</v>
      </c>
      <c r="Z34" s="11">
        <v>0</v>
      </c>
      <c r="AA34" s="29">
        <f t="shared" si="1"/>
        <v>1011301.3497035366</v>
      </c>
      <c r="AC34" s="11">
        <f>SUMIF('ERS 2015-16'!B:B,B34,'ERS 2015-16'!AC:AC)</f>
        <v>0</v>
      </c>
      <c r="AG34" s="11">
        <f t="shared" si="11"/>
        <v>-10811.75</v>
      </c>
      <c r="AH34" s="11">
        <f t="shared" si="12"/>
        <v>25389.5</v>
      </c>
      <c r="AK34" s="11">
        <f t="shared" si="6"/>
        <v>996723.5997035366</v>
      </c>
      <c r="AL34" s="11">
        <f t="shared" si="7"/>
        <v>1022113.0997035366</v>
      </c>
    </row>
    <row r="35" spans="1:38" s="11" customFormat="1" x14ac:dyDescent="0.2">
      <c r="A35" s="9" t="s">
        <v>37</v>
      </c>
      <c r="B35" s="26">
        <v>2434</v>
      </c>
      <c r="C35" s="11">
        <v>1176943.0037</v>
      </c>
      <c r="D35" s="11">
        <v>411644.5782854876</v>
      </c>
      <c r="E35" s="11">
        <v>12645.261460135134</v>
      </c>
      <c r="F35" s="11">
        <v>0</v>
      </c>
      <c r="G35" s="11">
        <v>12360.102824020873</v>
      </c>
      <c r="H35" s="11">
        <v>19526.377200845622</v>
      </c>
      <c r="I35" s="11">
        <v>100000</v>
      </c>
      <c r="J35" s="11">
        <v>0</v>
      </c>
      <c r="K35" s="11">
        <v>43384</v>
      </c>
      <c r="L35" s="11">
        <v>-49510.86</v>
      </c>
      <c r="M35" s="11">
        <v>139469</v>
      </c>
      <c r="N35" s="29">
        <f t="shared" si="8"/>
        <v>1866461.4634704893</v>
      </c>
      <c r="O35" s="11">
        <v>43925.774505948881</v>
      </c>
      <c r="P35" s="11">
        <v>0</v>
      </c>
      <c r="Q35" s="29">
        <f t="shared" si="9"/>
        <v>1910387.2379764381</v>
      </c>
      <c r="R35" s="11">
        <v>-35331.040000000001</v>
      </c>
      <c r="S35" s="29">
        <f t="shared" si="10"/>
        <v>1875056.1979764381</v>
      </c>
      <c r="T35" s="11">
        <v>15000</v>
      </c>
      <c r="U35" s="11">
        <v>218061.67499999999</v>
      </c>
      <c r="V35" s="11">
        <v>6757.3125000000009</v>
      </c>
      <c r="X35" s="11">
        <v>0</v>
      </c>
      <c r="Y35" s="11">
        <v>216637.02539788731</v>
      </c>
      <c r="Z35" s="11">
        <v>0</v>
      </c>
      <c r="AA35" s="29">
        <f t="shared" si="1"/>
        <v>2331512.2108743256</v>
      </c>
      <c r="AC35" s="11">
        <f>SUMIF('ERS 2015-16'!B:B,B35,'ERS 2015-16'!AC:AC)</f>
        <v>0</v>
      </c>
      <c r="AG35" s="11">
        <f t="shared" si="11"/>
        <v>-49510.86</v>
      </c>
      <c r="AH35" s="11">
        <f t="shared" si="12"/>
        <v>43384</v>
      </c>
      <c r="AK35" s="11">
        <f t="shared" si="6"/>
        <v>2337639.0708743255</v>
      </c>
      <c r="AL35" s="11">
        <f t="shared" si="7"/>
        <v>2381023.0708743255</v>
      </c>
    </row>
    <row r="36" spans="1:38" s="11" customFormat="1" x14ac:dyDescent="0.2">
      <c r="A36" s="9" t="s">
        <v>38</v>
      </c>
      <c r="B36" s="26">
        <v>2522</v>
      </c>
      <c r="C36" s="11">
        <v>990572.41960000014</v>
      </c>
      <c r="D36" s="11">
        <v>66366.785231563757</v>
      </c>
      <c r="E36" s="11">
        <v>1271.3028561743342</v>
      </c>
      <c r="F36" s="11">
        <v>0</v>
      </c>
      <c r="G36" s="11">
        <v>6640.4942879999999</v>
      </c>
      <c r="H36" s="11">
        <v>0</v>
      </c>
      <c r="I36" s="11">
        <v>100000</v>
      </c>
      <c r="J36" s="11">
        <v>0</v>
      </c>
      <c r="K36" s="11">
        <v>13680.75</v>
      </c>
      <c r="L36" s="11">
        <v>-17877</v>
      </c>
      <c r="M36" s="11">
        <v>0</v>
      </c>
      <c r="N36" s="29">
        <f t="shared" si="8"/>
        <v>1160654.7519757382</v>
      </c>
      <c r="O36" s="11">
        <v>0</v>
      </c>
      <c r="P36" s="11">
        <v>0</v>
      </c>
      <c r="Q36" s="29">
        <f t="shared" si="9"/>
        <v>1160654.7519757382</v>
      </c>
      <c r="R36" s="11">
        <v>-29736.32</v>
      </c>
      <c r="S36" s="29">
        <f t="shared" si="10"/>
        <v>1130918.4319757381</v>
      </c>
      <c r="T36" s="11">
        <v>34970</v>
      </c>
      <c r="U36" s="11">
        <v>0</v>
      </c>
      <c r="V36" s="11">
        <v>17268.6875</v>
      </c>
      <c r="X36" s="11">
        <v>0</v>
      </c>
      <c r="Y36" s="11">
        <v>0</v>
      </c>
      <c r="Z36" s="11">
        <v>0</v>
      </c>
      <c r="AA36" s="29">
        <f t="shared" si="1"/>
        <v>1183157.1194757381</v>
      </c>
      <c r="AC36" s="11">
        <f>SUMIF('ERS 2015-16'!B:B,B36,'ERS 2015-16'!AC:AC)</f>
        <v>0</v>
      </c>
      <c r="AG36" s="11">
        <f t="shared" si="11"/>
        <v>-17877</v>
      </c>
      <c r="AH36" s="11">
        <f t="shared" si="12"/>
        <v>13680.75</v>
      </c>
      <c r="AK36" s="11">
        <f t="shared" si="6"/>
        <v>1187353.3694757381</v>
      </c>
      <c r="AL36" s="11">
        <f t="shared" si="7"/>
        <v>1201034.1194757381</v>
      </c>
    </row>
    <row r="37" spans="1:38" s="11" customFormat="1" x14ac:dyDescent="0.2">
      <c r="A37" s="9" t="s">
        <v>39</v>
      </c>
      <c r="B37" s="26">
        <v>2436</v>
      </c>
      <c r="C37" s="11">
        <v>857815.29120000009</v>
      </c>
      <c r="D37" s="11">
        <v>103372.63140862244</v>
      </c>
      <c r="E37" s="11">
        <v>2755.6412799999998</v>
      </c>
      <c r="F37" s="11">
        <v>0</v>
      </c>
      <c r="G37" s="11">
        <v>3091.6834064516097</v>
      </c>
      <c r="H37" s="11">
        <v>0</v>
      </c>
      <c r="I37" s="11">
        <v>100000</v>
      </c>
      <c r="J37" s="11">
        <v>0</v>
      </c>
      <c r="K37" s="11">
        <v>12941.25</v>
      </c>
      <c r="L37" s="11">
        <v>-5303.9400000000005</v>
      </c>
      <c r="M37" s="11">
        <v>0</v>
      </c>
      <c r="N37" s="29">
        <f t="shared" si="8"/>
        <v>1074672.5572950742</v>
      </c>
      <c r="O37" s="11">
        <v>15739.900545426412</v>
      </c>
      <c r="P37" s="11">
        <v>0</v>
      </c>
      <c r="Q37" s="29">
        <f t="shared" si="9"/>
        <v>1090412.4578405006</v>
      </c>
      <c r="R37" s="11">
        <v>-25751.040000000001</v>
      </c>
      <c r="S37" s="29">
        <f t="shared" si="10"/>
        <v>1064661.4178405006</v>
      </c>
      <c r="T37" s="11">
        <v>10000</v>
      </c>
      <c r="U37" s="11">
        <v>174900.25</v>
      </c>
      <c r="V37" s="11">
        <v>28530.875</v>
      </c>
      <c r="X37" s="11">
        <v>0</v>
      </c>
      <c r="Y37" s="11">
        <v>0</v>
      </c>
      <c r="Z37" s="11">
        <v>0</v>
      </c>
      <c r="AA37" s="29">
        <f t="shared" si="1"/>
        <v>1278092.5428405006</v>
      </c>
      <c r="AC37" s="11">
        <f>SUMIF('ERS 2015-16'!B:B,B37,'ERS 2015-16'!AC:AC)</f>
        <v>45960.1</v>
      </c>
      <c r="AG37" s="11">
        <f t="shared" si="11"/>
        <v>-5303.9400000000005</v>
      </c>
      <c r="AH37" s="11">
        <f t="shared" si="12"/>
        <v>12941.25</v>
      </c>
      <c r="AK37" s="11">
        <f t="shared" si="6"/>
        <v>1224495.1328405004</v>
      </c>
      <c r="AL37" s="11">
        <f t="shared" si="7"/>
        <v>1237436.3828405004</v>
      </c>
    </row>
    <row r="38" spans="1:38" s="11" customFormat="1" x14ac:dyDescent="0.2">
      <c r="A38" s="9" t="s">
        <v>40</v>
      </c>
      <c r="B38" s="26">
        <v>2452</v>
      </c>
      <c r="C38" s="11">
        <v>515710.38340000005</v>
      </c>
      <c r="D38" s="11">
        <v>119577.55712716958</v>
      </c>
      <c r="E38" s="11">
        <v>0</v>
      </c>
      <c r="F38" s="11">
        <v>0</v>
      </c>
      <c r="G38" s="11">
        <v>9766.0015593220269</v>
      </c>
      <c r="H38" s="11">
        <v>0</v>
      </c>
      <c r="I38" s="11">
        <v>100000</v>
      </c>
      <c r="J38" s="11">
        <v>0</v>
      </c>
      <c r="K38" s="11">
        <v>11339</v>
      </c>
      <c r="L38" s="11">
        <v>-14936.140000000001</v>
      </c>
      <c r="M38" s="11">
        <v>0</v>
      </c>
      <c r="N38" s="29">
        <f t="shared" si="8"/>
        <v>741456.8020864916</v>
      </c>
      <c r="O38" s="11">
        <v>0</v>
      </c>
      <c r="P38" s="11">
        <v>0</v>
      </c>
      <c r="Q38" s="29">
        <f t="shared" si="9"/>
        <v>741456.8020864916</v>
      </c>
      <c r="R38" s="11">
        <v>-15481.28</v>
      </c>
      <c r="S38" s="29">
        <f t="shared" si="10"/>
        <v>725975.52208649158</v>
      </c>
      <c r="T38" s="11">
        <v>10675</v>
      </c>
      <c r="U38" s="11">
        <v>0</v>
      </c>
      <c r="V38" s="11">
        <v>23275.1875</v>
      </c>
      <c r="X38" s="11">
        <v>0</v>
      </c>
      <c r="Y38" s="11">
        <v>68289.098992720363</v>
      </c>
      <c r="Z38" s="11">
        <v>0</v>
      </c>
      <c r="AA38" s="29">
        <f t="shared" si="1"/>
        <v>828214.80857921194</v>
      </c>
      <c r="AC38" s="11">
        <f>SUMIF('ERS 2015-16'!B:B,B38,'ERS 2015-16'!AC:AC)</f>
        <v>0</v>
      </c>
      <c r="AG38" s="11">
        <f t="shared" si="11"/>
        <v>-14936.140000000001</v>
      </c>
      <c r="AH38" s="11">
        <f t="shared" si="12"/>
        <v>11339</v>
      </c>
      <c r="AK38" s="11">
        <f t="shared" si="6"/>
        <v>831811.94857921195</v>
      </c>
      <c r="AL38" s="11">
        <f t="shared" si="7"/>
        <v>843150.94857921195</v>
      </c>
    </row>
    <row r="39" spans="1:38" s="11" customFormat="1" x14ac:dyDescent="0.2">
      <c r="A39" s="9" t="s">
        <v>41</v>
      </c>
      <c r="B39" s="26">
        <v>2627</v>
      </c>
      <c r="C39" s="11">
        <v>1000784.5064000001</v>
      </c>
      <c r="D39" s="11">
        <v>42400.473428377605</v>
      </c>
      <c r="E39" s="11">
        <v>0</v>
      </c>
      <c r="F39" s="11">
        <v>0</v>
      </c>
      <c r="G39" s="11">
        <v>33342.688062650603</v>
      </c>
      <c r="H39" s="11">
        <v>0</v>
      </c>
      <c r="I39" s="11">
        <v>100000</v>
      </c>
      <c r="J39" s="11">
        <v>0</v>
      </c>
      <c r="K39" s="11">
        <v>17748</v>
      </c>
      <c r="L39" s="11">
        <v>-13181.349999999999</v>
      </c>
      <c r="M39" s="11">
        <v>0</v>
      </c>
      <c r="N39" s="29">
        <f t="shared" si="8"/>
        <v>1181094.3178910282</v>
      </c>
      <c r="O39" s="11">
        <v>0</v>
      </c>
      <c r="P39" s="11">
        <v>0</v>
      </c>
      <c r="Q39" s="29">
        <f t="shared" si="9"/>
        <v>1181094.3178910282</v>
      </c>
      <c r="R39" s="11">
        <v>-30042.880000000001</v>
      </c>
      <c r="S39" s="29">
        <f t="shared" si="10"/>
        <v>1151051.4378910284</v>
      </c>
      <c r="T39" s="11">
        <v>10000</v>
      </c>
      <c r="U39" s="11">
        <v>0</v>
      </c>
      <c r="V39" s="11">
        <v>12013</v>
      </c>
      <c r="X39" s="11">
        <v>0</v>
      </c>
      <c r="Y39" s="11">
        <v>0</v>
      </c>
      <c r="Z39" s="11">
        <v>0</v>
      </c>
      <c r="AA39" s="29">
        <f t="shared" si="1"/>
        <v>1173064.4378910284</v>
      </c>
      <c r="AC39" s="11">
        <f>SUMIF('ERS 2015-16'!B:B,B39,'ERS 2015-16'!AC:AC)</f>
        <v>0</v>
      </c>
      <c r="AG39" s="11">
        <f t="shared" si="11"/>
        <v>-13181.349999999999</v>
      </c>
      <c r="AH39" s="11">
        <f t="shared" si="12"/>
        <v>17748</v>
      </c>
      <c r="AK39" s="11">
        <f t="shared" si="6"/>
        <v>1168497.7878910284</v>
      </c>
      <c r="AL39" s="11">
        <f t="shared" si="7"/>
        <v>1186245.7878910284</v>
      </c>
    </row>
    <row r="40" spans="1:38" s="11" customFormat="1" x14ac:dyDescent="0.2">
      <c r="A40" s="9" t="s">
        <v>42</v>
      </c>
      <c r="B40" s="26">
        <v>2009</v>
      </c>
      <c r="C40" s="11">
        <v>725058.16280000005</v>
      </c>
      <c r="D40" s="11">
        <v>300945.38695580547</v>
      </c>
      <c r="E40" s="11">
        <v>0</v>
      </c>
      <c r="F40" s="11">
        <v>0</v>
      </c>
      <c r="G40" s="11">
        <v>15578.743538461538</v>
      </c>
      <c r="H40" s="11">
        <v>0</v>
      </c>
      <c r="I40" s="11">
        <v>100000</v>
      </c>
      <c r="J40" s="11">
        <v>0</v>
      </c>
      <c r="K40" s="11">
        <v>2415.6999999999989</v>
      </c>
      <c r="L40" s="11">
        <v>0</v>
      </c>
      <c r="M40" s="11">
        <v>0</v>
      </c>
      <c r="N40" s="29">
        <f t="shared" si="8"/>
        <v>1143997.993294267</v>
      </c>
      <c r="O40" s="11">
        <v>0</v>
      </c>
      <c r="P40" s="11">
        <v>0</v>
      </c>
      <c r="Q40" s="29">
        <f t="shared" si="9"/>
        <v>1143997.993294267</v>
      </c>
      <c r="R40" s="11">
        <v>0</v>
      </c>
      <c r="S40" s="29">
        <f t="shared" si="10"/>
        <v>1143997.993294267</v>
      </c>
      <c r="T40" s="11">
        <v>31565</v>
      </c>
      <c r="U40" s="11">
        <v>0</v>
      </c>
      <c r="V40" s="11">
        <v>1251.3541666666667</v>
      </c>
      <c r="X40" s="11">
        <v>0</v>
      </c>
      <c r="Y40" s="11">
        <v>0</v>
      </c>
      <c r="Z40" s="11">
        <v>0</v>
      </c>
      <c r="AA40" s="29">
        <f t="shared" si="1"/>
        <v>1176814.3474609337</v>
      </c>
      <c r="AC40" s="11">
        <f>SUMIF('ERS 2015-16'!B:B,B40,'ERS 2015-16'!AC:AC)</f>
        <v>0</v>
      </c>
      <c r="AG40" s="11">
        <f t="shared" si="11"/>
        <v>0</v>
      </c>
      <c r="AH40" s="11">
        <f t="shared" si="12"/>
        <v>2415.6999999999989</v>
      </c>
      <c r="AK40" s="11">
        <f t="shared" si="6"/>
        <v>1174398.6474609338</v>
      </c>
      <c r="AL40" s="11">
        <f t="shared" si="7"/>
        <v>1176814.3474609337</v>
      </c>
    </row>
    <row r="41" spans="1:38" s="11" customFormat="1" x14ac:dyDescent="0.2">
      <c r="A41" s="9" t="s">
        <v>101</v>
      </c>
      <c r="B41" s="26">
        <v>2473</v>
      </c>
      <c r="C41" s="11">
        <v>686762.83730000001</v>
      </c>
      <c r="D41" s="11">
        <v>190719.58603943547</v>
      </c>
      <c r="E41" s="11">
        <v>0</v>
      </c>
      <c r="F41" s="11">
        <v>0</v>
      </c>
      <c r="G41" s="11">
        <v>1278.8466233333343</v>
      </c>
      <c r="H41" s="11">
        <v>0</v>
      </c>
      <c r="I41" s="11">
        <v>100000</v>
      </c>
      <c r="J41" s="11">
        <v>0</v>
      </c>
      <c r="K41" s="11">
        <v>11832</v>
      </c>
      <c r="L41" s="11">
        <v>-14015.805</v>
      </c>
      <c r="M41" s="11">
        <v>0</v>
      </c>
      <c r="N41" s="29">
        <f t="shared" si="8"/>
        <v>976577.46496276872</v>
      </c>
      <c r="O41" s="11">
        <v>0</v>
      </c>
      <c r="P41" s="11">
        <v>0</v>
      </c>
      <c r="Q41" s="29">
        <f t="shared" si="9"/>
        <v>976577.46496276872</v>
      </c>
      <c r="R41" s="11">
        <v>-20616.16</v>
      </c>
      <c r="S41" s="29">
        <f t="shared" si="10"/>
        <v>955961.30496276869</v>
      </c>
      <c r="T41" s="11">
        <v>16135</v>
      </c>
      <c r="U41" s="11">
        <v>0</v>
      </c>
      <c r="V41" s="11">
        <v>11512.458333333334</v>
      </c>
      <c r="X41" s="11">
        <v>0</v>
      </c>
      <c r="Y41" s="11">
        <v>167851.72674904519</v>
      </c>
      <c r="Z41" s="11">
        <v>0</v>
      </c>
      <c r="AA41" s="29">
        <f t="shared" si="1"/>
        <v>1151460.4900451472</v>
      </c>
      <c r="AC41" s="11">
        <f>SUMIF('ERS 2015-16'!B:B,B41,'ERS 2015-16'!AC:AC)</f>
        <v>0</v>
      </c>
      <c r="AG41" s="11">
        <f t="shared" si="11"/>
        <v>-14015.805</v>
      </c>
      <c r="AH41" s="11">
        <f t="shared" si="12"/>
        <v>11832</v>
      </c>
      <c r="AK41" s="11">
        <f t="shared" si="6"/>
        <v>1153644.2950451472</v>
      </c>
      <c r="AL41" s="11">
        <f t="shared" si="7"/>
        <v>1165476.2950451472</v>
      </c>
    </row>
    <row r="42" spans="1:38" s="11" customFormat="1" x14ac:dyDescent="0.2">
      <c r="A42" s="9" t="s">
        <v>44</v>
      </c>
      <c r="B42" s="26">
        <v>2471</v>
      </c>
      <c r="C42" s="11">
        <v>893557.59500000009</v>
      </c>
      <c r="D42" s="11">
        <v>260625.69408883888</v>
      </c>
      <c r="E42" s="11">
        <v>1368.8608236994216</v>
      </c>
      <c r="F42" s="11">
        <v>0</v>
      </c>
      <c r="G42" s="11">
        <v>2581.9554310344815</v>
      </c>
      <c r="H42" s="11">
        <v>0</v>
      </c>
      <c r="I42" s="11">
        <v>100000</v>
      </c>
      <c r="J42" s="11">
        <v>0</v>
      </c>
      <c r="K42" s="11">
        <v>11832</v>
      </c>
      <c r="L42" s="11">
        <v>-14015.805</v>
      </c>
      <c r="M42" s="11">
        <v>0</v>
      </c>
      <c r="N42" s="29">
        <f t="shared" si="8"/>
        <v>1255950.3003435731</v>
      </c>
      <c r="O42" s="11">
        <v>0</v>
      </c>
      <c r="P42" s="11">
        <v>0</v>
      </c>
      <c r="Q42" s="29">
        <f t="shared" si="9"/>
        <v>1255950.3003435731</v>
      </c>
      <c r="R42" s="11">
        <v>-26824</v>
      </c>
      <c r="S42" s="29">
        <f t="shared" si="10"/>
        <v>1229126.3003435731</v>
      </c>
      <c r="T42" s="11">
        <v>0</v>
      </c>
      <c r="U42" s="11">
        <v>0</v>
      </c>
      <c r="V42" s="11">
        <v>50304.4375</v>
      </c>
      <c r="X42" s="11">
        <v>0</v>
      </c>
      <c r="Y42" s="11">
        <v>0</v>
      </c>
      <c r="Z42" s="11">
        <v>0</v>
      </c>
      <c r="AA42" s="29">
        <f t="shared" si="1"/>
        <v>1279430.7378435731</v>
      </c>
      <c r="AC42" s="11">
        <f>SUMIF('ERS 2015-16'!B:B,B42,'ERS 2015-16'!AC:AC)</f>
        <v>0</v>
      </c>
      <c r="AG42" s="11">
        <f t="shared" si="11"/>
        <v>-14015.805</v>
      </c>
      <c r="AH42" s="11">
        <f t="shared" si="12"/>
        <v>11832</v>
      </c>
      <c r="AK42" s="11">
        <f t="shared" si="6"/>
        <v>1281614.542843573</v>
      </c>
      <c r="AL42" s="11">
        <f t="shared" si="7"/>
        <v>1293446.542843573</v>
      </c>
    </row>
    <row r="43" spans="1:38" s="11" customFormat="1" x14ac:dyDescent="0.2">
      <c r="A43" s="9" t="s">
        <v>43</v>
      </c>
      <c r="B43" s="26">
        <v>2420</v>
      </c>
      <c r="C43" s="11">
        <v>1284169.9151000001</v>
      </c>
      <c r="D43" s="11">
        <v>711034.55027346476</v>
      </c>
      <c r="E43" s="11">
        <v>4353.9530923240936</v>
      </c>
      <c r="F43" s="11">
        <v>0</v>
      </c>
      <c r="G43" s="11">
        <v>134188.08916546774</v>
      </c>
      <c r="H43" s="11">
        <v>63223.136000000188</v>
      </c>
      <c r="I43" s="11">
        <v>100000</v>
      </c>
      <c r="J43" s="11">
        <v>0</v>
      </c>
      <c r="K43" s="11">
        <v>18610.75</v>
      </c>
      <c r="L43" s="11">
        <v>-10374</v>
      </c>
      <c r="M43" s="11">
        <v>0</v>
      </c>
      <c r="N43" s="29">
        <f t="shared" si="8"/>
        <v>2305206.3936312571</v>
      </c>
      <c r="O43" s="11">
        <v>0</v>
      </c>
      <c r="P43" s="11">
        <v>0</v>
      </c>
      <c r="Q43" s="29">
        <f t="shared" si="9"/>
        <v>2305206.3936312571</v>
      </c>
      <c r="R43" s="11">
        <v>-38549.919999999998</v>
      </c>
      <c r="S43" s="29">
        <f t="shared" si="10"/>
        <v>2266656.4736312572</v>
      </c>
      <c r="T43" s="11">
        <v>18405</v>
      </c>
      <c r="U43" s="11">
        <v>0</v>
      </c>
      <c r="V43" s="11">
        <v>13514.625</v>
      </c>
      <c r="X43" s="11">
        <v>0</v>
      </c>
      <c r="Y43" s="11">
        <v>197654.68775552307</v>
      </c>
      <c r="Z43" s="11">
        <v>0</v>
      </c>
      <c r="AA43" s="29">
        <f t="shared" si="1"/>
        <v>2496230.7863867804</v>
      </c>
      <c r="AC43" s="11">
        <f>SUMIF('ERS 2015-16'!B:B,B43,'ERS 2015-16'!AC:AC)</f>
        <v>0</v>
      </c>
      <c r="AG43" s="11">
        <f t="shared" si="11"/>
        <v>-10374</v>
      </c>
      <c r="AH43" s="11">
        <f t="shared" si="12"/>
        <v>18610.75</v>
      </c>
      <c r="AK43" s="11">
        <f t="shared" si="6"/>
        <v>2487994.0363867804</v>
      </c>
      <c r="AL43" s="11">
        <f t="shared" si="7"/>
        <v>2506604.7863867804</v>
      </c>
    </row>
    <row r="44" spans="1:38" s="11" customFormat="1" x14ac:dyDescent="0.2">
      <c r="A44" s="9" t="s">
        <v>45</v>
      </c>
      <c r="B44" s="26">
        <v>2003</v>
      </c>
      <c r="C44" s="11">
        <v>543793.62210000004</v>
      </c>
      <c r="D44" s="11">
        <v>16018.565080571685</v>
      </c>
      <c r="E44" s="11">
        <v>1366.0433985781992</v>
      </c>
      <c r="F44" s="11">
        <v>0</v>
      </c>
      <c r="G44" s="11">
        <v>0</v>
      </c>
      <c r="H44" s="11">
        <v>0</v>
      </c>
      <c r="I44" s="11">
        <v>100000</v>
      </c>
      <c r="J44" s="11">
        <v>0</v>
      </c>
      <c r="K44" s="11">
        <v>24896.5</v>
      </c>
      <c r="L44" s="11">
        <v>-15129.98</v>
      </c>
      <c r="M44" s="11">
        <v>0</v>
      </c>
      <c r="N44" s="29">
        <f t="shared" si="8"/>
        <v>670944.75057914993</v>
      </c>
      <c r="O44" s="11">
        <v>0</v>
      </c>
      <c r="P44" s="11">
        <v>0</v>
      </c>
      <c r="Q44" s="29">
        <f t="shared" si="9"/>
        <v>670944.75057914993</v>
      </c>
      <c r="R44" s="11">
        <v>-16324.32</v>
      </c>
      <c r="S44" s="29">
        <f t="shared" si="10"/>
        <v>654620.43057914998</v>
      </c>
      <c r="T44" s="11">
        <v>5000</v>
      </c>
      <c r="U44" s="11">
        <v>0</v>
      </c>
      <c r="V44" s="11">
        <v>6006.5</v>
      </c>
      <c r="X44" s="11">
        <v>0</v>
      </c>
      <c r="Y44" s="11">
        <v>96117.29985131236</v>
      </c>
      <c r="Z44" s="11">
        <v>0</v>
      </c>
      <c r="AA44" s="29">
        <f t="shared" si="1"/>
        <v>761744.2304304624</v>
      </c>
      <c r="AC44" s="11">
        <f>SUMIF('ERS 2015-16'!B:B,B44,'ERS 2015-16'!AC:AC)</f>
        <v>0</v>
      </c>
      <c r="AG44" s="11">
        <f t="shared" si="11"/>
        <v>-15129.98</v>
      </c>
      <c r="AH44" s="11">
        <f t="shared" si="12"/>
        <v>24896.5</v>
      </c>
      <c r="AK44" s="11">
        <f t="shared" si="6"/>
        <v>751977.71043046238</v>
      </c>
      <c r="AL44" s="11">
        <f t="shared" si="7"/>
        <v>776874.21043046238</v>
      </c>
    </row>
    <row r="45" spans="1:38" s="11" customFormat="1" x14ac:dyDescent="0.2">
      <c r="A45" s="9" t="s">
        <v>46</v>
      </c>
      <c r="B45" s="26">
        <v>2423</v>
      </c>
      <c r="C45" s="11">
        <v>850156.22610000009</v>
      </c>
      <c r="D45" s="11">
        <v>346086.80570744746</v>
      </c>
      <c r="E45" s="11">
        <v>2510.4242958217269</v>
      </c>
      <c r="F45" s="11">
        <v>0</v>
      </c>
      <c r="G45" s="11">
        <v>106092.56001046144</v>
      </c>
      <c r="H45" s="11">
        <v>23633.695999999942</v>
      </c>
      <c r="I45" s="11">
        <v>100000</v>
      </c>
      <c r="J45" s="11">
        <v>0</v>
      </c>
      <c r="K45" s="11">
        <v>10599.5</v>
      </c>
      <c r="L45" s="11">
        <v>-7725.8199999999988</v>
      </c>
      <c r="M45" s="11">
        <v>0</v>
      </c>
      <c r="N45" s="29">
        <f t="shared" si="8"/>
        <v>1431353.3921137305</v>
      </c>
      <c r="O45" s="11">
        <v>97946.416269480018</v>
      </c>
      <c r="P45" s="11">
        <v>0</v>
      </c>
      <c r="Q45" s="29">
        <f t="shared" si="9"/>
        <v>1529299.8083832106</v>
      </c>
      <c r="R45" s="11">
        <v>-25521.119999999999</v>
      </c>
      <c r="S45" s="29">
        <f t="shared" si="10"/>
        <v>1503778.6883832105</v>
      </c>
      <c r="T45" s="11">
        <v>0</v>
      </c>
      <c r="U45" s="11">
        <v>0</v>
      </c>
      <c r="V45" s="11">
        <v>0</v>
      </c>
      <c r="X45" s="11">
        <v>0</v>
      </c>
      <c r="Y45" s="11">
        <v>0</v>
      </c>
      <c r="Z45" s="11">
        <v>0</v>
      </c>
      <c r="AA45" s="29">
        <f t="shared" si="1"/>
        <v>1503778.6883832105</v>
      </c>
      <c r="AC45" s="11">
        <f>SUMIF('ERS 2015-16'!B:B,B45,'ERS 2015-16'!AC:AC)</f>
        <v>0</v>
      </c>
      <c r="AG45" s="11">
        <f t="shared" si="11"/>
        <v>-7725.8199999999988</v>
      </c>
      <c r="AH45" s="11">
        <f t="shared" si="12"/>
        <v>10599.5</v>
      </c>
      <c r="AK45" s="11">
        <f t="shared" si="6"/>
        <v>1500905.0083832105</v>
      </c>
      <c r="AL45" s="11">
        <f t="shared" si="7"/>
        <v>1511504.5083832105</v>
      </c>
    </row>
    <row r="46" spans="1:38" s="11" customFormat="1" x14ac:dyDescent="0.2">
      <c r="A46" s="9" t="s">
        <v>47</v>
      </c>
      <c r="B46" s="26">
        <v>2424</v>
      </c>
      <c r="C46" s="11">
        <v>689315.85900000005</v>
      </c>
      <c r="D46" s="11">
        <v>253000.35930579228</v>
      </c>
      <c r="E46" s="11">
        <v>1348.2232804428043</v>
      </c>
      <c r="F46" s="11">
        <v>0</v>
      </c>
      <c r="G46" s="11">
        <v>165409.45384090912</v>
      </c>
      <c r="H46" s="11">
        <v>0</v>
      </c>
      <c r="I46" s="11">
        <v>100000</v>
      </c>
      <c r="J46" s="11">
        <v>0</v>
      </c>
      <c r="K46" s="11">
        <v>10599.5</v>
      </c>
      <c r="L46" s="11">
        <v>-7725.8199999999988</v>
      </c>
      <c r="M46" s="11">
        <v>0</v>
      </c>
      <c r="N46" s="29">
        <f t="shared" si="8"/>
        <v>1211947.5754271441</v>
      </c>
      <c r="O46" s="11">
        <v>92226.222356675193</v>
      </c>
      <c r="P46" s="11">
        <v>0</v>
      </c>
      <c r="Q46" s="29">
        <f t="shared" si="9"/>
        <v>1304173.7977838193</v>
      </c>
      <c r="R46" s="11">
        <v>-20692.8</v>
      </c>
      <c r="S46" s="29">
        <f t="shared" si="10"/>
        <v>1283480.9977838192</v>
      </c>
      <c r="T46" s="11">
        <v>15000</v>
      </c>
      <c r="U46" s="11">
        <v>0</v>
      </c>
      <c r="V46" s="11">
        <v>0</v>
      </c>
      <c r="X46" s="11">
        <v>0</v>
      </c>
      <c r="Y46" s="11">
        <v>0</v>
      </c>
      <c r="Z46" s="11">
        <v>0</v>
      </c>
      <c r="AA46" s="29">
        <f t="shared" si="1"/>
        <v>1298480.9977838192</v>
      </c>
      <c r="AC46" s="11">
        <f>SUMIF('ERS 2015-16'!B:B,B46,'ERS 2015-16'!AC:AC)</f>
        <v>0</v>
      </c>
      <c r="AG46" s="11">
        <f t="shared" si="11"/>
        <v>-7725.8199999999988</v>
      </c>
      <c r="AH46" s="11">
        <f t="shared" si="12"/>
        <v>10599.5</v>
      </c>
      <c r="AK46" s="11">
        <f t="shared" si="6"/>
        <v>1295607.3177838193</v>
      </c>
      <c r="AL46" s="11">
        <f t="shared" si="7"/>
        <v>1306206.8177838193</v>
      </c>
    </row>
    <row r="47" spans="1:38" s="11" customFormat="1" x14ac:dyDescent="0.2">
      <c r="A47" s="9" t="s">
        <v>48</v>
      </c>
      <c r="B47" s="26">
        <v>2439</v>
      </c>
      <c r="C47" s="11">
        <v>653573.55520000006</v>
      </c>
      <c r="D47" s="11">
        <v>27619.666925379875</v>
      </c>
      <c r="E47" s="11">
        <v>0</v>
      </c>
      <c r="F47" s="11">
        <v>0</v>
      </c>
      <c r="G47" s="11">
        <v>11877.17274216867</v>
      </c>
      <c r="H47" s="11">
        <v>0</v>
      </c>
      <c r="I47" s="11">
        <v>100000</v>
      </c>
      <c r="J47" s="11">
        <v>0</v>
      </c>
      <c r="K47" s="11">
        <v>7953</v>
      </c>
      <c r="L47" s="11">
        <v>-1997.4999999999998</v>
      </c>
      <c r="M47" s="11">
        <v>0</v>
      </c>
      <c r="N47" s="29">
        <f t="shared" si="8"/>
        <v>799025.8948675486</v>
      </c>
      <c r="O47" s="11">
        <v>0</v>
      </c>
      <c r="P47" s="11">
        <v>0</v>
      </c>
      <c r="Q47" s="29">
        <f t="shared" si="9"/>
        <v>799025.8948675486</v>
      </c>
      <c r="R47" s="11">
        <v>-19619.84</v>
      </c>
      <c r="S47" s="29">
        <f t="shared" si="10"/>
        <v>779406.05486754864</v>
      </c>
      <c r="T47" s="11">
        <v>15000</v>
      </c>
      <c r="U47" s="11">
        <v>0</v>
      </c>
      <c r="V47" s="11">
        <v>0</v>
      </c>
      <c r="X47" s="11">
        <v>0</v>
      </c>
      <c r="Y47" s="11">
        <v>0</v>
      </c>
      <c r="Z47" s="11">
        <v>0</v>
      </c>
      <c r="AA47" s="29">
        <f t="shared" si="1"/>
        <v>794406.05486754864</v>
      </c>
      <c r="AC47" s="11">
        <f>SUMIF('ERS 2015-16'!B:B,B47,'ERS 2015-16'!AC:AC)</f>
        <v>0</v>
      </c>
      <c r="AG47" s="11">
        <f t="shared" si="11"/>
        <v>-1997.4999999999998</v>
      </c>
      <c r="AH47" s="11">
        <f t="shared" si="12"/>
        <v>7953</v>
      </c>
      <c r="AK47" s="11">
        <f t="shared" si="6"/>
        <v>788450.55486754864</v>
      </c>
      <c r="AL47" s="11">
        <f t="shared" si="7"/>
        <v>796403.55486754864</v>
      </c>
    </row>
    <row r="48" spans="1:38" s="11" customFormat="1" x14ac:dyDescent="0.2">
      <c r="A48" s="9" t="s">
        <v>49</v>
      </c>
      <c r="B48" s="26">
        <v>2440</v>
      </c>
      <c r="C48" s="11">
        <v>832285.07420000003</v>
      </c>
      <c r="D48" s="11">
        <v>38811.932544556788</v>
      </c>
      <c r="E48" s="11">
        <v>0</v>
      </c>
      <c r="F48" s="11">
        <v>0</v>
      </c>
      <c r="G48" s="11">
        <v>8557.338000000007</v>
      </c>
      <c r="H48" s="11">
        <v>0</v>
      </c>
      <c r="I48" s="11">
        <v>100000</v>
      </c>
      <c r="J48" s="11">
        <v>0</v>
      </c>
      <c r="K48" s="11">
        <v>31305.5</v>
      </c>
      <c r="L48" s="11">
        <v>-14092.879999999997</v>
      </c>
      <c r="M48" s="11">
        <v>0</v>
      </c>
      <c r="N48" s="29">
        <f t="shared" si="8"/>
        <v>996866.96474455681</v>
      </c>
      <c r="O48" s="11">
        <v>0</v>
      </c>
      <c r="P48" s="11">
        <v>0</v>
      </c>
      <c r="Q48" s="29">
        <f t="shared" si="9"/>
        <v>996866.96474455681</v>
      </c>
      <c r="R48" s="11">
        <v>-24984.639999999999</v>
      </c>
      <c r="S48" s="29">
        <f t="shared" si="10"/>
        <v>971882.3247445568</v>
      </c>
      <c r="T48" s="11">
        <v>0</v>
      </c>
      <c r="U48" s="11">
        <v>0</v>
      </c>
      <c r="V48" s="11">
        <v>48802.8125</v>
      </c>
      <c r="X48" s="11">
        <v>0</v>
      </c>
      <c r="Y48" s="11">
        <v>0</v>
      </c>
      <c r="Z48" s="11">
        <v>0</v>
      </c>
      <c r="AA48" s="29">
        <f t="shared" si="1"/>
        <v>1020685.1372445568</v>
      </c>
      <c r="AC48" s="11">
        <f>SUMIF('ERS 2015-16'!B:B,B48,'ERS 2015-16'!AC:AC)</f>
        <v>0</v>
      </c>
      <c r="AG48" s="11">
        <f t="shared" si="11"/>
        <v>-14092.879999999997</v>
      </c>
      <c r="AH48" s="11">
        <f t="shared" si="12"/>
        <v>31305.5</v>
      </c>
      <c r="AK48" s="11">
        <f t="shared" si="6"/>
        <v>1003472.5172445568</v>
      </c>
      <c r="AL48" s="11">
        <f t="shared" si="7"/>
        <v>1034778.0172445568</v>
      </c>
    </row>
    <row r="49" spans="1:38" s="11" customFormat="1" x14ac:dyDescent="0.2">
      <c r="A49" s="9" t="s">
        <v>102</v>
      </c>
      <c r="B49" s="26">
        <v>2462</v>
      </c>
      <c r="C49" s="11">
        <v>607619.16460000002</v>
      </c>
      <c r="D49" s="11">
        <v>58629.531357473665</v>
      </c>
      <c r="E49" s="11">
        <v>0</v>
      </c>
      <c r="F49" s="11">
        <v>0</v>
      </c>
      <c r="G49" s="11">
        <v>32370.539507284691</v>
      </c>
      <c r="H49" s="11">
        <v>0</v>
      </c>
      <c r="I49" s="11">
        <v>100000</v>
      </c>
      <c r="J49" s="11">
        <v>0</v>
      </c>
      <c r="K49" s="11">
        <v>11832</v>
      </c>
      <c r="L49" s="11">
        <v>-9009.07</v>
      </c>
      <c r="M49" s="11">
        <v>0</v>
      </c>
      <c r="N49" s="29">
        <f t="shared" si="8"/>
        <v>801442.16546475841</v>
      </c>
      <c r="O49" s="11">
        <v>0</v>
      </c>
      <c r="P49" s="11">
        <v>0</v>
      </c>
      <c r="Q49" s="29">
        <f t="shared" si="9"/>
        <v>801442.16546475841</v>
      </c>
      <c r="R49" s="11">
        <v>-18240.32</v>
      </c>
      <c r="S49" s="29">
        <f t="shared" si="10"/>
        <v>783201.84546475846</v>
      </c>
      <c r="T49" s="11">
        <v>18405</v>
      </c>
      <c r="U49" s="11">
        <v>0</v>
      </c>
      <c r="V49" s="11">
        <v>37665.760416666672</v>
      </c>
      <c r="X49" s="11">
        <v>0</v>
      </c>
      <c r="Y49" s="11">
        <v>87088.147915821042</v>
      </c>
      <c r="Z49" s="11">
        <v>0</v>
      </c>
      <c r="AA49" s="29">
        <f t="shared" si="1"/>
        <v>926360.75379724614</v>
      </c>
      <c r="AC49" s="11">
        <f>SUMIF('ERS 2015-16'!B:B,B49,'ERS 2015-16'!AC:AC)</f>
        <v>0</v>
      </c>
      <c r="AG49" s="11">
        <f t="shared" si="11"/>
        <v>-9009.07</v>
      </c>
      <c r="AH49" s="11">
        <f t="shared" si="12"/>
        <v>11832</v>
      </c>
      <c r="AK49" s="11">
        <f t="shared" si="6"/>
        <v>923537.82379724609</v>
      </c>
      <c r="AL49" s="11">
        <f t="shared" si="7"/>
        <v>935369.82379724609</v>
      </c>
    </row>
    <row r="50" spans="1:38" s="11" customFormat="1" x14ac:dyDescent="0.2">
      <c r="A50" s="9" t="s">
        <v>50</v>
      </c>
      <c r="B50" s="26">
        <v>2463</v>
      </c>
      <c r="C50" s="11">
        <v>857815.29120000009</v>
      </c>
      <c r="D50" s="11">
        <v>98491.760839346549</v>
      </c>
      <c r="E50" s="11">
        <v>0</v>
      </c>
      <c r="F50" s="11">
        <v>0</v>
      </c>
      <c r="G50" s="11">
        <v>22449.520951351355</v>
      </c>
      <c r="H50" s="11">
        <v>0</v>
      </c>
      <c r="I50" s="11">
        <v>100000</v>
      </c>
      <c r="J50" s="11">
        <v>0</v>
      </c>
      <c r="K50" s="11">
        <v>11832</v>
      </c>
      <c r="L50" s="11">
        <v>-9009.07</v>
      </c>
      <c r="M50" s="11">
        <v>0</v>
      </c>
      <c r="N50" s="29">
        <f t="shared" si="8"/>
        <v>1081579.502990698</v>
      </c>
      <c r="O50" s="11">
        <v>0</v>
      </c>
      <c r="P50" s="11">
        <v>0</v>
      </c>
      <c r="Q50" s="29">
        <f t="shared" si="9"/>
        <v>1081579.502990698</v>
      </c>
      <c r="R50" s="11">
        <v>-25751.040000000001</v>
      </c>
      <c r="S50" s="29">
        <f t="shared" si="10"/>
        <v>1055828.4629906979</v>
      </c>
      <c r="T50" s="11">
        <v>0</v>
      </c>
      <c r="U50" s="11">
        <v>0</v>
      </c>
      <c r="V50" s="11">
        <v>13514.625</v>
      </c>
      <c r="X50" s="11">
        <v>0</v>
      </c>
      <c r="Y50" s="11">
        <v>0</v>
      </c>
      <c r="Z50" s="11">
        <v>0</v>
      </c>
      <c r="AA50" s="29">
        <f t="shared" si="1"/>
        <v>1069343.0879906979</v>
      </c>
      <c r="AC50" s="11">
        <f>SUMIF('ERS 2015-16'!B:B,B50,'ERS 2015-16'!AC:AC)</f>
        <v>0</v>
      </c>
      <c r="AG50" s="11">
        <f t="shared" si="11"/>
        <v>-9009.07</v>
      </c>
      <c r="AH50" s="11">
        <f t="shared" si="12"/>
        <v>11832</v>
      </c>
      <c r="AK50" s="11">
        <f t="shared" si="6"/>
        <v>1066520.157990698</v>
      </c>
      <c r="AL50" s="11">
        <f t="shared" si="7"/>
        <v>1078352.157990698</v>
      </c>
    </row>
    <row r="51" spans="1:38" s="11" customFormat="1" x14ac:dyDescent="0.2">
      <c r="A51" s="9" t="s">
        <v>51</v>
      </c>
      <c r="B51" s="26">
        <v>2505</v>
      </c>
      <c r="C51" s="11">
        <v>1335230.3491000002</v>
      </c>
      <c r="D51" s="11">
        <v>401760.21347964241</v>
      </c>
      <c r="E51" s="11">
        <v>0</v>
      </c>
      <c r="F51" s="11">
        <v>0</v>
      </c>
      <c r="G51" s="11">
        <v>87428.133259534734</v>
      </c>
      <c r="H51" s="11">
        <v>3239.1360000002378</v>
      </c>
      <c r="I51" s="11">
        <v>100000</v>
      </c>
      <c r="J51" s="11">
        <v>0</v>
      </c>
      <c r="K51" s="11">
        <v>21815.25</v>
      </c>
      <c r="L51" s="11">
        <v>-30364.26</v>
      </c>
      <c r="M51" s="11">
        <v>0</v>
      </c>
      <c r="N51" s="29">
        <f t="shared" si="8"/>
        <v>1919108.8218391775</v>
      </c>
      <c r="O51" s="11">
        <v>0</v>
      </c>
      <c r="P51" s="11">
        <v>0</v>
      </c>
      <c r="Q51" s="29">
        <f t="shared" si="9"/>
        <v>1919108.8218391775</v>
      </c>
      <c r="R51" s="11">
        <v>-40082.720000000001</v>
      </c>
      <c r="S51" s="29">
        <f t="shared" si="10"/>
        <v>1879026.1018391775</v>
      </c>
      <c r="T51" s="11">
        <v>15000</v>
      </c>
      <c r="U51" s="11">
        <v>0</v>
      </c>
      <c r="V51" s="11">
        <v>9009.75</v>
      </c>
      <c r="X51" s="11">
        <v>0</v>
      </c>
      <c r="Y51" s="11">
        <v>175959.23641535736</v>
      </c>
      <c r="Z51" s="11">
        <v>0</v>
      </c>
      <c r="AA51" s="29">
        <f t="shared" si="1"/>
        <v>2078995.0882545349</v>
      </c>
      <c r="AC51" s="11">
        <f>SUMIF('ERS 2015-16'!B:B,B51,'ERS 2015-16'!AC:AC)</f>
        <v>0</v>
      </c>
      <c r="AG51" s="11">
        <f t="shared" si="11"/>
        <v>-30364.26</v>
      </c>
      <c r="AH51" s="11">
        <f t="shared" si="12"/>
        <v>21815.25</v>
      </c>
      <c r="AK51" s="11">
        <f t="shared" si="6"/>
        <v>2087544.0982545349</v>
      </c>
      <c r="AL51" s="11">
        <f t="shared" si="7"/>
        <v>2109359.3482545349</v>
      </c>
    </row>
    <row r="52" spans="1:38" s="11" customFormat="1" x14ac:dyDescent="0.2">
      <c r="A52" s="9" t="s">
        <v>52</v>
      </c>
      <c r="B52" s="26">
        <v>2000</v>
      </c>
      <c r="C52" s="11">
        <v>760800.46660000004</v>
      </c>
      <c r="D52" s="11">
        <v>190493.00689970469</v>
      </c>
      <c r="E52" s="11">
        <v>1313.5458521172638</v>
      </c>
      <c r="F52" s="11">
        <v>0</v>
      </c>
      <c r="G52" s="11">
        <v>25595.666002974001</v>
      </c>
      <c r="H52" s="11">
        <v>11405.056000000162</v>
      </c>
      <c r="I52" s="11">
        <v>100000</v>
      </c>
      <c r="J52" s="11">
        <v>0</v>
      </c>
      <c r="K52" s="11">
        <v>14543.5</v>
      </c>
      <c r="L52" s="11">
        <v>-8405.42</v>
      </c>
      <c r="M52" s="11">
        <v>0</v>
      </c>
      <c r="N52" s="29">
        <f t="shared" si="8"/>
        <v>1095745.8213547962</v>
      </c>
      <c r="O52" s="11">
        <v>0</v>
      </c>
      <c r="P52" s="11">
        <v>0</v>
      </c>
      <c r="Q52" s="29">
        <f t="shared" si="9"/>
        <v>1095745.8213547962</v>
      </c>
      <c r="R52" s="11">
        <v>-22838.720000000001</v>
      </c>
      <c r="S52" s="29">
        <f t="shared" si="10"/>
        <v>1072907.1013547962</v>
      </c>
      <c r="T52" s="11">
        <v>16810</v>
      </c>
      <c r="U52" s="11">
        <v>453199.02</v>
      </c>
      <c r="V52" s="11">
        <v>15016.25</v>
      </c>
      <c r="X52" s="11">
        <v>0</v>
      </c>
      <c r="Y52" s="11">
        <v>57138.124658174682</v>
      </c>
      <c r="Z52" s="11">
        <v>0</v>
      </c>
      <c r="AA52" s="29">
        <f t="shared" si="1"/>
        <v>1615070.4960129708</v>
      </c>
      <c r="AC52" s="11">
        <f>SUMIF('ERS 2015-16'!B:B,B52,'ERS 2015-16'!AC:AC)</f>
        <v>7091.0150000000003</v>
      </c>
      <c r="AG52" s="11">
        <f t="shared" si="11"/>
        <v>-8405.42</v>
      </c>
      <c r="AH52" s="11">
        <f t="shared" si="12"/>
        <v>14543.5</v>
      </c>
      <c r="AK52" s="11">
        <f t="shared" si="6"/>
        <v>1601841.4010129708</v>
      </c>
      <c r="AL52" s="11">
        <f t="shared" si="7"/>
        <v>1616384.9010129708</v>
      </c>
    </row>
    <row r="53" spans="1:38" s="11" customFormat="1" x14ac:dyDescent="0.2">
      <c r="A53" s="9" t="s">
        <v>53</v>
      </c>
      <c r="B53" s="26">
        <v>2458</v>
      </c>
      <c r="C53" s="11">
        <v>689315.85900000005</v>
      </c>
      <c r="D53" s="11">
        <v>68747.653346891835</v>
      </c>
      <c r="E53" s="11">
        <v>0</v>
      </c>
      <c r="F53" s="11">
        <v>0</v>
      </c>
      <c r="G53" s="11">
        <v>92419.25039999999</v>
      </c>
      <c r="H53" s="11">
        <v>0</v>
      </c>
      <c r="I53" s="11">
        <v>100000</v>
      </c>
      <c r="J53" s="11">
        <v>0</v>
      </c>
      <c r="K53" s="11">
        <v>7953</v>
      </c>
      <c r="L53" s="11">
        <v>21685.763040000002</v>
      </c>
      <c r="M53" s="11">
        <v>0</v>
      </c>
      <c r="N53" s="29">
        <f t="shared" si="8"/>
        <v>980121.52578689193</v>
      </c>
      <c r="O53" s="11">
        <v>0</v>
      </c>
      <c r="P53" s="11">
        <v>0</v>
      </c>
      <c r="Q53" s="29">
        <f t="shared" si="9"/>
        <v>980121.52578689193</v>
      </c>
      <c r="R53" s="11">
        <v>-20692.8</v>
      </c>
      <c r="S53" s="29">
        <f t="shared" si="10"/>
        <v>959428.72578689188</v>
      </c>
      <c r="T53" s="11">
        <v>15000</v>
      </c>
      <c r="U53" s="11">
        <v>0</v>
      </c>
      <c r="V53" s="11">
        <v>24776.8125</v>
      </c>
      <c r="X53" s="11">
        <v>0</v>
      </c>
      <c r="Y53" s="11">
        <v>0</v>
      </c>
      <c r="Z53" s="11">
        <v>0</v>
      </c>
      <c r="AA53" s="29">
        <f t="shared" si="1"/>
        <v>999205.53828689188</v>
      </c>
      <c r="AC53" s="11">
        <f>SUMIF('ERS 2015-16'!B:B,B53,'ERS 2015-16'!AC:AC)</f>
        <v>0</v>
      </c>
      <c r="AG53" s="11">
        <f t="shared" si="11"/>
        <v>21685.763040000002</v>
      </c>
      <c r="AH53" s="11">
        <f t="shared" si="12"/>
        <v>7953</v>
      </c>
      <c r="AK53" s="11">
        <f t="shared" si="6"/>
        <v>969566.77524689189</v>
      </c>
      <c r="AL53" s="11">
        <f t="shared" si="7"/>
        <v>977519.77524689189</v>
      </c>
    </row>
    <row r="54" spans="1:38" s="11" customFormat="1" x14ac:dyDescent="0.2">
      <c r="A54" s="9" t="s">
        <v>54</v>
      </c>
      <c r="B54" s="26">
        <v>2001</v>
      </c>
      <c r="C54" s="11">
        <v>901216.6601000001</v>
      </c>
      <c r="D54" s="11">
        <v>417029.94610019086</v>
      </c>
      <c r="E54" s="11">
        <v>4202.5116870967749</v>
      </c>
      <c r="F54" s="11">
        <v>0</v>
      </c>
      <c r="G54" s="11">
        <v>17646.936542268042</v>
      </c>
      <c r="H54" s="11">
        <v>11636.895999999786</v>
      </c>
      <c r="I54" s="11">
        <v>100000</v>
      </c>
      <c r="J54" s="11">
        <v>0</v>
      </c>
      <c r="K54" s="11">
        <v>14420.25</v>
      </c>
      <c r="L54" s="11">
        <v>-16165.91</v>
      </c>
      <c r="M54" s="11">
        <v>0</v>
      </c>
      <c r="N54" s="29">
        <f t="shared" si="8"/>
        <v>1449987.2904295556</v>
      </c>
      <c r="O54" s="11">
        <v>0</v>
      </c>
      <c r="P54" s="11">
        <v>0</v>
      </c>
      <c r="Q54" s="29">
        <f t="shared" si="9"/>
        <v>1449987.2904295556</v>
      </c>
      <c r="R54" s="11">
        <v>-27053.920000000002</v>
      </c>
      <c r="S54" s="29">
        <f t="shared" si="10"/>
        <v>1422933.3704295557</v>
      </c>
      <c r="T54" s="11">
        <v>16810</v>
      </c>
      <c r="U54" s="11">
        <v>0</v>
      </c>
      <c r="V54" s="11">
        <v>13514.625</v>
      </c>
      <c r="X54" s="11">
        <v>0</v>
      </c>
      <c r="Y54" s="11">
        <v>133516.67275388615</v>
      </c>
      <c r="Z54" s="11">
        <v>0</v>
      </c>
      <c r="AA54" s="29">
        <f t="shared" si="1"/>
        <v>1586774.6681834417</v>
      </c>
      <c r="AC54" s="11">
        <f>SUMIF('ERS 2015-16'!B:B,B54,'ERS 2015-16'!AC:AC)</f>
        <v>0</v>
      </c>
      <c r="AG54" s="11">
        <f t="shared" si="11"/>
        <v>-16165.91</v>
      </c>
      <c r="AH54" s="11">
        <f t="shared" si="12"/>
        <v>14420.25</v>
      </c>
      <c r="AK54" s="11">
        <f t="shared" si="6"/>
        <v>1588520.3281834417</v>
      </c>
      <c r="AL54" s="11">
        <f t="shared" si="7"/>
        <v>1602940.5781834417</v>
      </c>
    </row>
    <row r="55" spans="1:38" s="11" customFormat="1" x14ac:dyDescent="0.2">
      <c r="A55" s="9" t="s">
        <v>55</v>
      </c>
      <c r="B55" s="26">
        <v>2429</v>
      </c>
      <c r="C55" s="11">
        <v>382953.25500000006</v>
      </c>
      <c r="D55" s="11">
        <v>122515.03263151422</v>
      </c>
      <c r="E55" s="11">
        <v>2688.5099999999998</v>
      </c>
      <c r="F55" s="11">
        <v>0</v>
      </c>
      <c r="G55" s="11">
        <v>84236.295937499992</v>
      </c>
      <c r="H55" s="11">
        <v>0</v>
      </c>
      <c r="I55" s="11">
        <v>100000</v>
      </c>
      <c r="J55" s="11">
        <v>0</v>
      </c>
      <c r="K55" s="11">
        <v>6748</v>
      </c>
      <c r="L55" s="11">
        <v>-10104.68</v>
      </c>
      <c r="M55" s="11">
        <v>0</v>
      </c>
      <c r="N55" s="29">
        <f t="shared" si="8"/>
        <v>689036.41356901417</v>
      </c>
      <c r="O55" s="11">
        <v>0</v>
      </c>
      <c r="P55" s="11">
        <v>0</v>
      </c>
      <c r="Q55" s="29">
        <f t="shared" si="9"/>
        <v>689036.41356901417</v>
      </c>
      <c r="R55" s="11">
        <v>-11496</v>
      </c>
      <c r="S55" s="29">
        <f t="shared" si="10"/>
        <v>677540.41356901417</v>
      </c>
      <c r="T55" s="11">
        <v>20215</v>
      </c>
      <c r="U55" s="11">
        <v>0</v>
      </c>
      <c r="V55" s="11">
        <v>0</v>
      </c>
      <c r="X55" s="11">
        <v>0</v>
      </c>
      <c r="Y55" s="11">
        <v>140347.06620229987</v>
      </c>
      <c r="Z55" s="11">
        <v>0</v>
      </c>
      <c r="AA55" s="29">
        <f t="shared" si="1"/>
        <v>838102.47977131407</v>
      </c>
      <c r="AC55" s="11">
        <f>SUMIF('ERS 2015-16'!B:B,B55,'ERS 2015-16'!AC:AC)</f>
        <v>0</v>
      </c>
      <c r="AG55" s="11">
        <f t="shared" si="11"/>
        <v>-10104.68</v>
      </c>
      <c r="AH55" s="11">
        <f t="shared" si="12"/>
        <v>6748</v>
      </c>
      <c r="AK55" s="11">
        <f t="shared" si="6"/>
        <v>841459.15977131412</v>
      </c>
      <c r="AL55" s="11">
        <f t="shared" si="7"/>
        <v>848207.15977131412</v>
      </c>
    </row>
    <row r="56" spans="1:38" s="11" customFormat="1" x14ac:dyDescent="0.2">
      <c r="A56" s="9" t="s">
        <v>56</v>
      </c>
      <c r="B56" s="26">
        <v>2444</v>
      </c>
      <c r="C56" s="11">
        <v>531028.51360000006</v>
      </c>
      <c r="D56" s="11">
        <v>121323.92665087717</v>
      </c>
      <c r="E56" s="11">
        <v>0</v>
      </c>
      <c r="F56" s="11">
        <v>0</v>
      </c>
      <c r="G56" s="11">
        <v>29665.438400000057</v>
      </c>
      <c r="H56" s="11">
        <v>0</v>
      </c>
      <c r="I56" s="11">
        <v>100000</v>
      </c>
      <c r="J56" s="11">
        <v>0</v>
      </c>
      <c r="K56" s="11">
        <v>8874</v>
      </c>
      <c r="L56" s="11">
        <v>-2973.41</v>
      </c>
      <c r="M56" s="11">
        <v>0</v>
      </c>
      <c r="N56" s="29">
        <f t="shared" si="8"/>
        <v>787918.46865087736</v>
      </c>
      <c r="O56" s="11">
        <v>0</v>
      </c>
      <c r="P56" s="11">
        <v>0</v>
      </c>
      <c r="Q56" s="29">
        <f t="shared" si="9"/>
        <v>787918.46865087736</v>
      </c>
      <c r="R56" s="11">
        <v>-15941.12</v>
      </c>
      <c r="S56" s="29">
        <f t="shared" si="10"/>
        <v>771977.34865087736</v>
      </c>
      <c r="T56" s="11">
        <v>37700</v>
      </c>
      <c r="U56" s="11">
        <v>0</v>
      </c>
      <c r="V56" s="11">
        <v>19145.71875</v>
      </c>
      <c r="X56" s="11">
        <v>0</v>
      </c>
      <c r="Y56" s="11">
        <v>120146.77363864669</v>
      </c>
      <c r="Z56" s="11">
        <v>0</v>
      </c>
      <c r="AA56" s="29">
        <f t="shared" si="1"/>
        <v>948969.84103952406</v>
      </c>
      <c r="AC56" s="11">
        <f>SUMIF('ERS 2015-16'!B:B,B56,'ERS 2015-16'!AC:AC)</f>
        <v>0</v>
      </c>
      <c r="AG56" s="11">
        <f t="shared" si="11"/>
        <v>-2973.41</v>
      </c>
      <c r="AH56" s="11">
        <f t="shared" si="12"/>
        <v>8874</v>
      </c>
      <c r="AK56" s="11">
        <f t="shared" si="6"/>
        <v>943069.2510395241</v>
      </c>
      <c r="AL56" s="11">
        <f t="shared" si="7"/>
        <v>951943.2510395241</v>
      </c>
    </row>
    <row r="57" spans="1:38" s="11" customFormat="1" x14ac:dyDescent="0.2">
      <c r="A57" s="9" t="s">
        <v>57</v>
      </c>
      <c r="B57" s="26">
        <v>5209</v>
      </c>
      <c r="C57" s="11">
        <v>699527.9458000001</v>
      </c>
      <c r="D57" s="11">
        <v>195781.8693357498</v>
      </c>
      <c r="E57" s="11">
        <v>0</v>
      </c>
      <c r="F57" s="11">
        <v>0</v>
      </c>
      <c r="G57" s="11">
        <v>10382.482414760138</v>
      </c>
      <c r="H57" s="11">
        <v>0</v>
      </c>
      <c r="I57" s="11">
        <v>100000</v>
      </c>
      <c r="J57" s="11">
        <v>0</v>
      </c>
      <c r="K57" s="11">
        <v>2489.6499999999996</v>
      </c>
      <c r="L57" s="11">
        <v>-39.591999999998734</v>
      </c>
      <c r="M57" s="11">
        <v>0</v>
      </c>
      <c r="N57" s="29">
        <f t="shared" si="8"/>
        <v>1008142.3555505101</v>
      </c>
      <c r="O57" s="11">
        <v>0</v>
      </c>
      <c r="P57" s="11">
        <v>0</v>
      </c>
      <c r="Q57" s="29">
        <f t="shared" si="9"/>
        <v>1008142.3555505101</v>
      </c>
      <c r="R57" s="11">
        <v>-20999.360000000001</v>
      </c>
      <c r="S57" s="29">
        <f t="shared" si="10"/>
        <v>987142.99555051012</v>
      </c>
      <c r="T57" s="11">
        <v>0</v>
      </c>
      <c r="U57" s="11">
        <v>0</v>
      </c>
      <c r="V57" s="11">
        <v>0</v>
      </c>
      <c r="X57" s="11">
        <v>0</v>
      </c>
      <c r="Y57" s="11">
        <v>0</v>
      </c>
      <c r="Z57" s="11">
        <v>0</v>
      </c>
      <c r="AA57" s="29">
        <f t="shared" si="1"/>
        <v>987142.99555051012</v>
      </c>
      <c r="AC57" s="11">
        <f>SUMIF('ERS 2015-16'!B:B,B57,'ERS 2015-16'!AC:AC)</f>
        <v>0</v>
      </c>
      <c r="AG57" s="11">
        <f t="shared" si="11"/>
        <v>-39.591999999998734</v>
      </c>
      <c r="AH57" s="11">
        <f t="shared" si="12"/>
        <v>2489.6499999999996</v>
      </c>
      <c r="AK57" s="11">
        <f t="shared" si="6"/>
        <v>984692.93755051005</v>
      </c>
      <c r="AL57" s="11">
        <f t="shared" si="7"/>
        <v>987182.58755051007</v>
      </c>
    </row>
    <row r="58" spans="1:38" s="11" customFormat="1" x14ac:dyDescent="0.2">
      <c r="A58" s="9" t="s">
        <v>58</v>
      </c>
      <c r="B58" s="26">
        <v>2469</v>
      </c>
      <c r="C58" s="11">
        <v>1049291.9187</v>
      </c>
      <c r="D58" s="11">
        <v>84578.740017580625</v>
      </c>
      <c r="E58" s="11">
        <v>0</v>
      </c>
      <c r="F58" s="11">
        <v>0</v>
      </c>
      <c r="G58" s="11">
        <v>34068.444789743604</v>
      </c>
      <c r="H58" s="11">
        <v>0</v>
      </c>
      <c r="I58" s="11">
        <v>100000</v>
      </c>
      <c r="J58" s="11">
        <v>0</v>
      </c>
      <c r="K58" s="11">
        <v>11339</v>
      </c>
      <c r="L58" s="11">
        <v>-13748.93</v>
      </c>
      <c r="M58" s="11">
        <v>0</v>
      </c>
      <c r="N58" s="29">
        <f t="shared" si="8"/>
        <v>1265529.1735073242</v>
      </c>
      <c r="O58" s="11">
        <v>0</v>
      </c>
      <c r="P58" s="11">
        <v>0</v>
      </c>
      <c r="Q58" s="29">
        <f t="shared" si="9"/>
        <v>1265529.1735073242</v>
      </c>
      <c r="R58" s="11">
        <v>-31499.040000000001</v>
      </c>
      <c r="S58" s="29">
        <f t="shared" si="10"/>
        <v>1234030.1335073241</v>
      </c>
      <c r="T58" s="11">
        <v>10000</v>
      </c>
      <c r="U58" s="11">
        <v>0</v>
      </c>
      <c r="V58" s="11">
        <v>17894.364583333332</v>
      </c>
      <c r="X58" s="11">
        <v>0</v>
      </c>
      <c r="Y58" s="11">
        <v>0</v>
      </c>
      <c r="Z58" s="11">
        <v>0</v>
      </c>
      <c r="AA58" s="29">
        <f t="shared" si="1"/>
        <v>1261924.4980906574</v>
      </c>
      <c r="AC58" s="11">
        <f>SUMIF('ERS 2015-16'!B:B,B58,'ERS 2015-16'!AC:AC)</f>
        <v>0</v>
      </c>
      <c r="AG58" s="11">
        <f t="shared" si="11"/>
        <v>-13748.93</v>
      </c>
      <c r="AH58" s="11">
        <f t="shared" si="12"/>
        <v>11339</v>
      </c>
      <c r="AK58" s="11">
        <f t="shared" si="6"/>
        <v>1264334.4280906573</v>
      </c>
      <c r="AL58" s="11">
        <f t="shared" si="7"/>
        <v>1275673.4280906573</v>
      </c>
    </row>
    <row r="59" spans="1:38" s="11" customFormat="1" x14ac:dyDescent="0.2">
      <c r="A59" s="59" t="s">
        <v>451</v>
      </c>
      <c r="B59" s="26">
        <v>2430</v>
      </c>
      <c r="C59" s="11">
        <v>306362.60400000005</v>
      </c>
      <c r="D59" s="11">
        <v>143834.51960452116</v>
      </c>
      <c r="E59" s="11">
        <v>0</v>
      </c>
      <c r="F59" s="11">
        <v>0</v>
      </c>
      <c r="G59" s="11">
        <v>27524.633567010304</v>
      </c>
      <c r="H59" s="11">
        <v>16795.520000000051</v>
      </c>
      <c r="I59" s="11">
        <v>100000</v>
      </c>
      <c r="J59" s="11">
        <v>0</v>
      </c>
      <c r="K59" s="11">
        <v>19227</v>
      </c>
      <c r="L59" s="11">
        <v>-2896.0900000000015</v>
      </c>
      <c r="M59" s="11">
        <v>22766</v>
      </c>
      <c r="N59" s="29">
        <f t="shared" si="8"/>
        <v>633614.18717153161</v>
      </c>
      <c r="O59" s="11">
        <v>0</v>
      </c>
      <c r="P59" s="11">
        <v>0</v>
      </c>
      <c r="Q59" s="29">
        <f t="shared" si="9"/>
        <v>633614.18717153161</v>
      </c>
      <c r="R59" s="11">
        <v>-9196.7999999999993</v>
      </c>
      <c r="S59" s="29">
        <f t="shared" si="10"/>
        <v>624417.38717153156</v>
      </c>
      <c r="T59" s="11">
        <v>14080</v>
      </c>
      <c r="U59" s="11">
        <v>0</v>
      </c>
      <c r="V59" s="11">
        <v>9009.75</v>
      </c>
      <c r="X59" s="11">
        <v>0</v>
      </c>
      <c r="Y59" s="11">
        <v>33156.42772019712</v>
      </c>
      <c r="Z59" s="11">
        <v>0</v>
      </c>
      <c r="AA59" s="29">
        <f t="shared" si="1"/>
        <v>680663.56489172869</v>
      </c>
      <c r="AC59" s="11">
        <f>SUMIF('ERS 2015-16'!B:B,B59,'ERS 2015-16'!AC:AC)</f>
        <v>0</v>
      </c>
      <c r="AG59" s="11">
        <f t="shared" si="11"/>
        <v>-2896.0900000000015</v>
      </c>
      <c r="AH59" s="11">
        <f t="shared" si="12"/>
        <v>19227</v>
      </c>
      <c r="AK59" s="11">
        <f t="shared" si="6"/>
        <v>664332.65489172866</v>
      </c>
      <c r="AL59" s="11">
        <f t="shared" si="7"/>
        <v>683559.65489172866</v>
      </c>
    </row>
    <row r="60" spans="1:38" s="11" customFormat="1" x14ac:dyDescent="0.2">
      <c r="A60" s="9" t="s">
        <v>59</v>
      </c>
      <c r="B60" s="26">
        <v>2466</v>
      </c>
      <c r="C60" s="11">
        <v>502945.27490000002</v>
      </c>
      <c r="D60" s="11">
        <v>89930.290130968817</v>
      </c>
      <c r="E60" s="11">
        <v>0</v>
      </c>
      <c r="F60" s="11">
        <v>0</v>
      </c>
      <c r="G60" s="11">
        <v>2923.3449468208014</v>
      </c>
      <c r="H60" s="11">
        <v>32856.601756097458</v>
      </c>
      <c r="I60" s="11">
        <v>100000</v>
      </c>
      <c r="J60" s="11">
        <v>0</v>
      </c>
      <c r="K60" s="11">
        <v>10846</v>
      </c>
      <c r="L60" s="11">
        <v>-6398.89</v>
      </c>
      <c r="M60" s="11">
        <v>0</v>
      </c>
      <c r="N60" s="29">
        <f t="shared" si="8"/>
        <v>733102.621733887</v>
      </c>
      <c r="O60" s="11">
        <v>0</v>
      </c>
      <c r="P60" s="11">
        <v>0</v>
      </c>
      <c r="Q60" s="29">
        <f t="shared" si="9"/>
        <v>733102.621733887</v>
      </c>
      <c r="R60" s="11">
        <v>-15098.08</v>
      </c>
      <c r="S60" s="29">
        <f t="shared" si="10"/>
        <v>718004.54173388705</v>
      </c>
      <c r="T60" s="11">
        <v>41780</v>
      </c>
      <c r="U60" s="11">
        <v>248915.39</v>
      </c>
      <c r="V60" s="11">
        <v>25152.21875</v>
      </c>
      <c r="X60" s="11">
        <v>0</v>
      </c>
      <c r="Y60" s="11">
        <v>0</v>
      </c>
      <c r="Z60" s="11">
        <v>0</v>
      </c>
      <c r="AA60" s="29">
        <f t="shared" si="1"/>
        <v>1033852.1504838871</v>
      </c>
      <c r="AC60" s="11">
        <f>SUMIF('ERS 2015-16'!B:B,B60,'ERS 2015-16'!AC:AC)</f>
        <v>0</v>
      </c>
      <c r="AG60" s="11">
        <f t="shared" si="11"/>
        <v>-6398.89</v>
      </c>
      <c r="AH60" s="11">
        <f t="shared" si="12"/>
        <v>10846</v>
      </c>
      <c r="AK60" s="11">
        <f t="shared" si="6"/>
        <v>1029405.0404838871</v>
      </c>
      <c r="AL60" s="11">
        <f t="shared" si="7"/>
        <v>1040251.0404838871</v>
      </c>
    </row>
    <row r="61" spans="1:38" s="11" customFormat="1" x14ac:dyDescent="0.2">
      <c r="A61" s="9" t="s">
        <v>60</v>
      </c>
      <c r="B61" s="26">
        <v>3543</v>
      </c>
      <c r="C61" s="11">
        <v>768459.53170000005</v>
      </c>
      <c r="D61" s="11">
        <v>123594.98125837796</v>
      </c>
      <c r="E61" s="11">
        <v>2761.4795030508471</v>
      </c>
      <c r="F61" s="11">
        <v>0</v>
      </c>
      <c r="G61" s="11">
        <v>19191.927851764696</v>
      </c>
      <c r="H61" s="11">
        <v>0</v>
      </c>
      <c r="I61" s="11">
        <v>100000</v>
      </c>
      <c r="J61" s="11">
        <v>0</v>
      </c>
      <c r="K61" s="11">
        <v>2267.7999999999993</v>
      </c>
      <c r="L61" s="11">
        <v>-3346.6619999999984</v>
      </c>
      <c r="M61" s="11">
        <v>0</v>
      </c>
      <c r="N61" s="29">
        <f t="shared" si="8"/>
        <v>1012929.0583131936</v>
      </c>
      <c r="O61" s="11">
        <v>0</v>
      </c>
      <c r="P61" s="11">
        <v>0</v>
      </c>
      <c r="Q61" s="29">
        <f t="shared" si="9"/>
        <v>1012929.0583131936</v>
      </c>
      <c r="R61" s="11">
        <v>-23068.639999999999</v>
      </c>
      <c r="S61" s="29">
        <f t="shared" si="10"/>
        <v>989860.4183131936</v>
      </c>
      <c r="T61" s="11">
        <v>27025</v>
      </c>
      <c r="U61" s="11">
        <v>0</v>
      </c>
      <c r="V61" s="11">
        <v>27029.25</v>
      </c>
      <c r="X61" s="11">
        <v>0</v>
      </c>
      <c r="Y61" s="11">
        <v>61087.900725631844</v>
      </c>
      <c r="Z61" s="11">
        <v>0</v>
      </c>
      <c r="AA61" s="29">
        <f t="shared" si="1"/>
        <v>1105002.5690388253</v>
      </c>
      <c r="AC61" s="11">
        <f>SUMIF('ERS 2015-16'!B:B,B61,'ERS 2015-16'!AC:AC)</f>
        <v>0</v>
      </c>
      <c r="AG61" s="11">
        <f t="shared" si="11"/>
        <v>-3346.6619999999984</v>
      </c>
      <c r="AH61" s="11">
        <f t="shared" si="12"/>
        <v>2267.7999999999993</v>
      </c>
      <c r="AK61" s="11">
        <f t="shared" si="6"/>
        <v>1106081.4310388253</v>
      </c>
      <c r="AL61" s="11">
        <f t="shared" si="7"/>
        <v>1108349.2310388254</v>
      </c>
    </row>
    <row r="62" spans="1:38" s="11" customFormat="1" x14ac:dyDescent="0.2">
      <c r="A62" s="9" t="s">
        <v>62</v>
      </c>
      <c r="B62" s="26">
        <v>3531</v>
      </c>
      <c r="C62" s="11">
        <v>898663.63840000005</v>
      </c>
      <c r="D62" s="11">
        <v>207144.76071268384</v>
      </c>
      <c r="E62" s="11">
        <v>0</v>
      </c>
      <c r="F62" s="11">
        <v>0</v>
      </c>
      <c r="G62" s="11">
        <v>31917.17060662244</v>
      </c>
      <c r="H62" s="11">
        <v>0</v>
      </c>
      <c r="I62" s="11">
        <v>100000</v>
      </c>
      <c r="J62" s="11">
        <v>0</v>
      </c>
      <c r="K62" s="11">
        <v>2859.3999999999996</v>
      </c>
      <c r="L62" s="11">
        <v>0</v>
      </c>
      <c r="M62" s="11">
        <v>0</v>
      </c>
      <c r="N62" s="29">
        <f t="shared" si="8"/>
        <v>1240584.9697193063</v>
      </c>
      <c r="O62" s="11">
        <v>0</v>
      </c>
      <c r="P62" s="11">
        <v>0</v>
      </c>
      <c r="Q62" s="29">
        <f t="shared" si="9"/>
        <v>1240584.9697193063</v>
      </c>
      <c r="R62" s="11">
        <v>0</v>
      </c>
      <c r="S62" s="29">
        <f t="shared" si="10"/>
        <v>1240584.9697193063</v>
      </c>
      <c r="T62" s="11">
        <v>21350</v>
      </c>
      <c r="U62" s="11">
        <v>0</v>
      </c>
      <c r="V62" s="11">
        <v>0</v>
      </c>
      <c r="X62" s="11">
        <v>0</v>
      </c>
      <c r="Y62" s="11">
        <v>0</v>
      </c>
      <c r="Z62" s="11">
        <v>0</v>
      </c>
      <c r="AA62" s="29">
        <f t="shared" si="1"/>
        <v>1261934.9697193063</v>
      </c>
      <c r="AC62" s="11">
        <f>SUMIF('ERS 2015-16'!B:B,B62,'ERS 2015-16'!AC:AC)</f>
        <v>0</v>
      </c>
      <c r="AG62" s="11">
        <f t="shared" si="11"/>
        <v>0</v>
      </c>
      <c r="AH62" s="11">
        <f t="shared" si="12"/>
        <v>2859.3999999999996</v>
      </c>
      <c r="AK62" s="11">
        <f t="shared" si="6"/>
        <v>1259075.5697193064</v>
      </c>
      <c r="AL62" s="11">
        <f t="shared" si="7"/>
        <v>1261934.9697193063</v>
      </c>
    </row>
    <row r="63" spans="1:38" s="11" customFormat="1" x14ac:dyDescent="0.2">
      <c r="A63" s="9" t="s">
        <v>103</v>
      </c>
      <c r="B63" s="26">
        <v>3526</v>
      </c>
      <c r="C63" s="11">
        <v>217006.84450000001</v>
      </c>
      <c r="D63" s="11">
        <v>70101.294303866918</v>
      </c>
      <c r="E63" s="11">
        <v>0</v>
      </c>
      <c r="F63" s="11">
        <v>0</v>
      </c>
      <c r="G63" s="11">
        <v>56867.400709090922</v>
      </c>
      <c r="H63" s="11">
        <v>4198.8799999999683</v>
      </c>
      <c r="I63" s="11">
        <v>100000</v>
      </c>
      <c r="J63" s="11">
        <v>0</v>
      </c>
      <c r="K63" s="11">
        <v>857.96</v>
      </c>
      <c r="L63" s="11">
        <v>-827.05600000000004</v>
      </c>
      <c r="M63" s="11">
        <v>0</v>
      </c>
      <c r="N63" s="29">
        <f t="shared" si="8"/>
        <v>448205.32351295784</v>
      </c>
      <c r="O63" s="11">
        <v>0</v>
      </c>
      <c r="P63" s="11">
        <v>0</v>
      </c>
      <c r="Q63" s="29">
        <f t="shared" si="9"/>
        <v>448205.32351295784</v>
      </c>
      <c r="R63" s="11">
        <v>-6514.4</v>
      </c>
      <c r="S63" s="29">
        <f t="shared" si="10"/>
        <v>441690.92351295782</v>
      </c>
      <c r="T63" s="11">
        <v>5000</v>
      </c>
      <c r="U63" s="11">
        <v>0</v>
      </c>
      <c r="V63" s="11">
        <v>0</v>
      </c>
      <c r="X63" s="11">
        <v>0</v>
      </c>
      <c r="Y63" s="11">
        <v>72093.737005887378</v>
      </c>
      <c r="Z63" s="11">
        <v>0</v>
      </c>
      <c r="AA63" s="29">
        <f t="shared" si="1"/>
        <v>518784.66051884519</v>
      </c>
      <c r="AC63" s="11">
        <f>SUMIF('ERS 2015-16'!B:B,B63,'ERS 2015-16'!AC:AC)</f>
        <v>0</v>
      </c>
      <c r="AG63" s="11">
        <f t="shared" si="11"/>
        <v>-827.05600000000004</v>
      </c>
      <c r="AH63" s="11">
        <f t="shared" si="12"/>
        <v>857.96</v>
      </c>
      <c r="AK63" s="11">
        <f t="shared" si="6"/>
        <v>518753.75651884516</v>
      </c>
      <c r="AL63" s="11">
        <f t="shared" si="7"/>
        <v>519611.71651884518</v>
      </c>
    </row>
    <row r="64" spans="1:38" s="11" customFormat="1" x14ac:dyDescent="0.2">
      <c r="A64" s="9" t="s">
        <v>104</v>
      </c>
      <c r="B64" s="26">
        <v>3535</v>
      </c>
      <c r="C64" s="11">
        <v>758247.44490000012</v>
      </c>
      <c r="D64" s="11">
        <v>278709.04599124624</v>
      </c>
      <c r="E64" s="11">
        <v>2670.4675076411959</v>
      </c>
      <c r="F64" s="11">
        <v>0</v>
      </c>
      <c r="G64" s="11">
        <v>71265.857783107989</v>
      </c>
      <c r="H64" s="11">
        <v>0</v>
      </c>
      <c r="I64" s="11">
        <v>100000</v>
      </c>
      <c r="J64" s="11">
        <v>0</v>
      </c>
      <c r="K64" s="11">
        <v>2144.5499999999993</v>
      </c>
      <c r="L64" s="11">
        <v>-1282.7980000000005</v>
      </c>
      <c r="M64" s="11">
        <v>0</v>
      </c>
      <c r="N64" s="29">
        <f t="shared" si="8"/>
        <v>1211754.5681819955</v>
      </c>
      <c r="O64" s="11">
        <v>74000.378779548453</v>
      </c>
      <c r="P64" s="11">
        <v>0</v>
      </c>
      <c r="Q64" s="29">
        <f t="shared" si="9"/>
        <v>1285754.946961544</v>
      </c>
      <c r="R64" s="11">
        <v>-22762.080000000002</v>
      </c>
      <c r="S64" s="29">
        <f t="shared" si="10"/>
        <v>1262992.8669615439</v>
      </c>
      <c r="T64" s="11">
        <v>0</v>
      </c>
      <c r="U64" s="11">
        <v>0</v>
      </c>
      <c r="V64" s="11">
        <v>12763.8125</v>
      </c>
      <c r="X64" s="11">
        <v>0</v>
      </c>
      <c r="Y64" s="11">
        <v>0</v>
      </c>
      <c r="Z64" s="11">
        <v>0</v>
      </c>
      <c r="AA64" s="29">
        <f t="shared" si="1"/>
        <v>1275756.6794615439</v>
      </c>
      <c r="AC64" s="11">
        <f>SUMIF('ERS 2015-16'!B:B,B64,'ERS 2015-16'!AC:AC)</f>
        <v>0</v>
      </c>
      <c r="AG64" s="11">
        <f t="shared" si="11"/>
        <v>-1282.7980000000005</v>
      </c>
      <c r="AH64" s="11">
        <f t="shared" si="12"/>
        <v>2144.5499999999993</v>
      </c>
      <c r="AK64" s="11">
        <f t="shared" si="6"/>
        <v>1274894.9274615438</v>
      </c>
      <c r="AL64" s="11">
        <f t="shared" si="7"/>
        <v>1277039.4774615439</v>
      </c>
    </row>
    <row r="65" spans="1:38" s="11" customFormat="1" x14ac:dyDescent="0.2">
      <c r="A65" s="12" t="s">
        <v>64</v>
      </c>
      <c r="B65" s="26">
        <v>2008</v>
      </c>
      <c r="C65" s="11">
        <v>582088.94760000007</v>
      </c>
      <c r="D65" s="11">
        <v>150225.51186133901</v>
      </c>
      <c r="E65" s="11">
        <v>0</v>
      </c>
      <c r="F65" s="11">
        <v>0</v>
      </c>
      <c r="G65" s="11">
        <v>14780.856545454555</v>
      </c>
      <c r="H65" s="11">
        <v>0</v>
      </c>
      <c r="I65" s="11">
        <v>100000</v>
      </c>
      <c r="J65" s="11">
        <v>0</v>
      </c>
      <c r="K65" s="11">
        <v>1972</v>
      </c>
      <c r="L65" s="11">
        <v>0</v>
      </c>
      <c r="M65" s="11">
        <v>0</v>
      </c>
      <c r="N65" s="29">
        <f t="shared" si="8"/>
        <v>849067.31600679364</v>
      </c>
      <c r="O65" s="11">
        <v>15067.308474244666</v>
      </c>
      <c r="P65" s="11">
        <v>0</v>
      </c>
      <c r="Q65" s="29">
        <f t="shared" si="9"/>
        <v>864134.62448103831</v>
      </c>
      <c r="R65" s="11">
        <v>0</v>
      </c>
      <c r="S65" s="29">
        <f t="shared" si="10"/>
        <v>864134.62448103831</v>
      </c>
      <c r="T65" s="11">
        <v>5000</v>
      </c>
      <c r="U65" s="11">
        <v>0</v>
      </c>
      <c r="V65" s="11">
        <v>6006.5</v>
      </c>
      <c r="X65" s="11">
        <v>0</v>
      </c>
      <c r="Y65" s="11">
        <v>0</v>
      </c>
      <c r="Z65" s="11">
        <v>0</v>
      </c>
      <c r="AA65" s="29">
        <f t="shared" si="1"/>
        <v>875141.12448103831</v>
      </c>
      <c r="AC65" s="11">
        <f>SUMIF('ERS 2015-16'!B:B,B65,'ERS 2015-16'!AC:AC)</f>
        <v>0</v>
      </c>
      <c r="AG65" s="11">
        <f t="shared" si="11"/>
        <v>0</v>
      </c>
      <c r="AH65" s="11">
        <f t="shared" si="12"/>
        <v>1972</v>
      </c>
      <c r="AK65" s="11">
        <f t="shared" si="6"/>
        <v>873169.12448103831</v>
      </c>
      <c r="AL65" s="11">
        <f t="shared" si="7"/>
        <v>875141.12448103831</v>
      </c>
    </row>
    <row r="66" spans="1:38" s="11" customFormat="1" x14ac:dyDescent="0.2">
      <c r="A66" s="9" t="s">
        <v>105</v>
      </c>
      <c r="B66" s="26">
        <v>3542</v>
      </c>
      <c r="C66" s="11">
        <v>896110.61670000013</v>
      </c>
      <c r="D66" s="11">
        <v>185286.39965452373</v>
      </c>
      <c r="E66" s="11">
        <v>3969.184359610028</v>
      </c>
      <c r="F66" s="11">
        <v>0</v>
      </c>
      <c r="G66" s="11">
        <v>78832.699469102896</v>
      </c>
      <c r="H66" s="11">
        <v>0</v>
      </c>
      <c r="I66" s="11">
        <v>100000</v>
      </c>
      <c r="J66" s="11">
        <v>0</v>
      </c>
      <c r="K66" s="11">
        <v>4141.2000000000007</v>
      </c>
      <c r="L66" s="11">
        <v>-1875.0679999999988</v>
      </c>
      <c r="M66" s="11">
        <v>0</v>
      </c>
      <c r="N66" s="29">
        <f t="shared" si="8"/>
        <v>1266465.0321832367</v>
      </c>
      <c r="O66" s="11">
        <v>0</v>
      </c>
      <c r="P66" s="11">
        <v>0</v>
      </c>
      <c r="Q66" s="29">
        <f t="shared" si="9"/>
        <v>1266465.0321832367</v>
      </c>
      <c r="R66" s="11">
        <v>-26900.639999999999</v>
      </c>
      <c r="S66" s="29">
        <f t="shared" si="10"/>
        <v>1239564.3921832368</v>
      </c>
      <c r="T66" s="11">
        <v>21350</v>
      </c>
      <c r="U66" s="11">
        <v>0</v>
      </c>
      <c r="V66" s="11">
        <v>18770.3125</v>
      </c>
      <c r="X66" s="11">
        <v>0</v>
      </c>
      <c r="Y66" s="11">
        <v>0</v>
      </c>
      <c r="Z66" s="11">
        <v>0</v>
      </c>
      <c r="AA66" s="29">
        <f t="shared" ref="AA66:AA72" si="13">SUM(S66:Z66)</f>
        <v>1279684.7046832368</v>
      </c>
      <c r="AC66" s="11">
        <f>SUMIF('ERS 2015-16'!B:B,B66,'ERS 2015-16'!AC:AC)</f>
        <v>0</v>
      </c>
      <c r="AG66" s="11">
        <f t="shared" si="11"/>
        <v>-1875.0679999999988</v>
      </c>
      <c r="AH66" s="11">
        <f t="shared" si="12"/>
        <v>4141.2000000000007</v>
      </c>
      <c r="AK66" s="11">
        <f t="shared" si="6"/>
        <v>1277418.5726832368</v>
      </c>
      <c r="AL66" s="11">
        <f t="shared" si="7"/>
        <v>1281559.7726832367</v>
      </c>
    </row>
    <row r="67" spans="1:38" s="11" customFormat="1" x14ac:dyDescent="0.2">
      <c r="A67" s="9" t="s">
        <v>106</v>
      </c>
      <c r="B67" s="26">
        <v>3528</v>
      </c>
      <c r="C67" s="11">
        <v>885898.52990000008</v>
      </c>
      <c r="D67" s="11">
        <v>179142.22608962678</v>
      </c>
      <c r="E67" s="11">
        <v>2630.6229406162465</v>
      </c>
      <c r="F67" s="11">
        <v>0</v>
      </c>
      <c r="G67" s="11">
        <v>56947.326032876634</v>
      </c>
      <c r="H67" s="11">
        <v>14756.064000000191</v>
      </c>
      <c r="I67" s="11">
        <v>100000</v>
      </c>
      <c r="J67" s="11">
        <v>0</v>
      </c>
      <c r="K67" s="11">
        <v>7444.2999999999993</v>
      </c>
      <c r="L67" s="11">
        <v>-3290.5600000000004</v>
      </c>
      <c r="M67" s="11">
        <v>0</v>
      </c>
      <c r="N67" s="29">
        <f t="shared" si="8"/>
        <v>1243528.5089631202</v>
      </c>
      <c r="O67" s="11">
        <v>0</v>
      </c>
      <c r="P67" s="11">
        <v>0</v>
      </c>
      <c r="Q67" s="29">
        <f t="shared" si="9"/>
        <v>1243528.5089631202</v>
      </c>
      <c r="R67" s="11">
        <v>-26594.080000000002</v>
      </c>
      <c r="S67" s="29">
        <f t="shared" si="10"/>
        <v>1216934.4289631201</v>
      </c>
      <c r="T67" s="11">
        <v>20215</v>
      </c>
      <c r="U67" s="11">
        <v>0</v>
      </c>
      <c r="V67" s="11">
        <v>6256.7708333333339</v>
      </c>
      <c r="X67" s="11">
        <v>0</v>
      </c>
      <c r="Y67" s="11">
        <v>54774.527063549707</v>
      </c>
      <c r="Z67" s="11">
        <v>0</v>
      </c>
      <c r="AA67" s="29">
        <f t="shared" si="13"/>
        <v>1298180.7268600031</v>
      </c>
      <c r="AC67" s="11">
        <f>SUMIF('ERS 2015-16'!B:B,B67,'ERS 2015-16'!AC:AC)</f>
        <v>0</v>
      </c>
      <c r="AG67" s="11">
        <f t="shared" si="11"/>
        <v>-3290.5600000000004</v>
      </c>
      <c r="AH67" s="11">
        <f t="shared" si="12"/>
        <v>7444.2999999999993</v>
      </c>
      <c r="AK67" s="11">
        <f t="shared" ref="AK67:AK72" si="14">AA67-AH67-AC67-L67-X67</f>
        <v>1294026.9868600031</v>
      </c>
      <c r="AL67" s="11">
        <f t="shared" ref="AL67:AL72" si="15">AK67+AH67</f>
        <v>1301471.2868600031</v>
      </c>
    </row>
    <row r="68" spans="1:38" s="11" customFormat="1" x14ac:dyDescent="0.2">
      <c r="A68" s="9" t="s">
        <v>107</v>
      </c>
      <c r="B68" s="26">
        <v>3534</v>
      </c>
      <c r="C68" s="11">
        <v>622937.29480000003</v>
      </c>
      <c r="D68" s="11">
        <v>53342.269909659502</v>
      </c>
      <c r="E68" s="11">
        <v>0</v>
      </c>
      <c r="F68" s="11">
        <v>0</v>
      </c>
      <c r="G68" s="11">
        <v>13978.178892050215</v>
      </c>
      <c r="H68" s="11">
        <v>0</v>
      </c>
      <c r="I68" s="11">
        <v>100000</v>
      </c>
      <c r="J68" s="11">
        <v>0</v>
      </c>
      <c r="K68" s="11">
        <v>2440.3500000000004</v>
      </c>
      <c r="L68" s="11">
        <v>-1398.3119999999992</v>
      </c>
      <c r="M68" s="11">
        <v>0</v>
      </c>
      <c r="N68" s="29">
        <f t="shared" ref="N68:N72" si="16">SUM(C68:M68)</f>
        <v>791299.78160170966</v>
      </c>
      <c r="O68" s="11">
        <v>0</v>
      </c>
      <c r="P68" s="11">
        <v>0</v>
      </c>
      <c r="Q68" s="29">
        <f t="shared" ref="Q68:Q72" si="17">SUM(N68:P68)</f>
        <v>791299.78160170966</v>
      </c>
      <c r="R68" s="11">
        <v>-18700.16</v>
      </c>
      <c r="S68" s="29">
        <f t="shared" ref="S68:S72" si="18">SUM(Q68+R68)</f>
        <v>772599.62160170963</v>
      </c>
      <c r="T68" s="11">
        <v>0</v>
      </c>
      <c r="U68" s="11">
        <v>0</v>
      </c>
      <c r="V68" s="11">
        <v>2502.7083333333335</v>
      </c>
      <c r="X68" s="11">
        <v>0</v>
      </c>
      <c r="Y68" s="11">
        <v>0</v>
      </c>
      <c r="Z68" s="11">
        <v>0</v>
      </c>
      <c r="AA68" s="29">
        <f t="shared" si="13"/>
        <v>775102.329935043</v>
      </c>
      <c r="AC68" s="11">
        <f>SUMIF('ERS 2015-16'!B:B,B68,'ERS 2015-16'!AC:AC)</f>
        <v>0</v>
      </c>
      <c r="AG68" s="11">
        <f t="shared" ref="AG68:AG72" si="19">L68</f>
        <v>-1398.3119999999992</v>
      </c>
      <c r="AH68" s="11">
        <f t="shared" ref="AH68:AH72" si="20">K68</f>
        <v>2440.3500000000004</v>
      </c>
      <c r="AK68" s="11">
        <f t="shared" si="14"/>
        <v>774060.29193504306</v>
      </c>
      <c r="AL68" s="11">
        <f t="shared" si="15"/>
        <v>776500.64193504304</v>
      </c>
    </row>
    <row r="69" spans="1:38" s="11" customFormat="1" x14ac:dyDescent="0.2">
      <c r="A69" s="9" t="s">
        <v>108</v>
      </c>
      <c r="B69" s="26">
        <v>3532</v>
      </c>
      <c r="C69" s="11">
        <v>791436.72700000007</v>
      </c>
      <c r="D69" s="11">
        <v>43326.437753145437</v>
      </c>
      <c r="E69" s="11">
        <v>1384.4791320132013</v>
      </c>
      <c r="F69" s="11">
        <v>0</v>
      </c>
      <c r="G69" s="11">
        <v>0</v>
      </c>
      <c r="H69" s="11">
        <v>0</v>
      </c>
      <c r="I69" s="11">
        <v>100000</v>
      </c>
      <c r="J69" s="11">
        <v>0</v>
      </c>
      <c r="K69" s="11">
        <v>3500.2999999999993</v>
      </c>
      <c r="L69" s="11">
        <v>-3267.2819999999974</v>
      </c>
      <c r="M69" s="11">
        <v>0</v>
      </c>
      <c r="N69" s="29">
        <f t="shared" si="16"/>
        <v>936380.66188515874</v>
      </c>
      <c r="O69" s="11">
        <v>0</v>
      </c>
      <c r="P69" s="11">
        <v>0</v>
      </c>
      <c r="Q69" s="29">
        <f t="shared" si="17"/>
        <v>936380.66188515874</v>
      </c>
      <c r="R69" s="11">
        <v>-23758.400000000001</v>
      </c>
      <c r="S69" s="29">
        <f t="shared" si="18"/>
        <v>912622.26188515872</v>
      </c>
      <c r="T69" s="11">
        <v>25890</v>
      </c>
      <c r="U69" s="11">
        <v>0</v>
      </c>
      <c r="V69" s="11">
        <v>0</v>
      </c>
      <c r="X69" s="11">
        <v>0</v>
      </c>
      <c r="Y69" s="11">
        <v>0</v>
      </c>
      <c r="Z69" s="11">
        <v>0</v>
      </c>
      <c r="AA69" s="29">
        <f t="shared" si="13"/>
        <v>938512.26188515872</v>
      </c>
      <c r="AC69" s="11">
        <f>SUMIF('ERS 2015-16'!B:B,B69,'ERS 2015-16'!AC:AC)</f>
        <v>0</v>
      </c>
      <c r="AG69" s="11">
        <f t="shared" si="19"/>
        <v>-3267.2819999999974</v>
      </c>
      <c r="AH69" s="11">
        <f t="shared" si="20"/>
        <v>3500.2999999999993</v>
      </c>
      <c r="AK69" s="11">
        <f t="shared" si="14"/>
        <v>938279.24388515868</v>
      </c>
      <c r="AL69" s="11">
        <f t="shared" si="15"/>
        <v>941779.54388515872</v>
      </c>
    </row>
    <row r="70" spans="1:38" s="11" customFormat="1" x14ac:dyDescent="0.2">
      <c r="A70" s="9" t="s">
        <v>65</v>
      </c>
      <c r="B70" s="26">
        <v>3546</v>
      </c>
      <c r="C70" s="11">
        <v>1393949.8482000001</v>
      </c>
      <c r="D70" s="11">
        <v>512146.02222263947</v>
      </c>
      <c r="E70" s="11">
        <v>2731.4466476894636</v>
      </c>
      <c r="F70" s="11">
        <v>0</v>
      </c>
      <c r="G70" s="11">
        <v>101661.1754400002</v>
      </c>
      <c r="H70" s="11">
        <v>0</v>
      </c>
      <c r="I70" s="11">
        <v>100000</v>
      </c>
      <c r="J70" s="11">
        <v>0</v>
      </c>
      <c r="K70" s="11">
        <v>61625</v>
      </c>
      <c r="L70" s="11">
        <v>-86599.98000000001</v>
      </c>
      <c r="M70" s="11">
        <v>0</v>
      </c>
      <c r="N70" s="29">
        <f t="shared" si="16"/>
        <v>2085513.512510329</v>
      </c>
      <c r="O70" s="11">
        <v>100314.92041748483</v>
      </c>
      <c r="P70" s="11">
        <v>0</v>
      </c>
      <c r="Q70" s="29">
        <f t="shared" si="17"/>
        <v>2185828.4329278138</v>
      </c>
      <c r="R70" s="11">
        <v>-41845.440000000002</v>
      </c>
      <c r="S70" s="29">
        <f t="shared" si="18"/>
        <v>2143982.9929278139</v>
      </c>
      <c r="T70" s="11">
        <v>52915</v>
      </c>
      <c r="U70" s="11">
        <v>0</v>
      </c>
      <c r="V70" s="11">
        <v>22524.375</v>
      </c>
      <c r="X70" s="11">
        <v>0</v>
      </c>
      <c r="Y70" s="11">
        <v>171730.33436051582</v>
      </c>
      <c r="Z70" s="11">
        <v>0</v>
      </c>
      <c r="AA70" s="29">
        <f t="shared" si="13"/>
        <v>2391152.7022883296</v>
      </c>
      <c r="AC70" s="11">
        <f>SUMIF('ERS 2015-16'!B:B,B70,'ERS 2015-16'!AC:AC)</f>
        <v>0</v>
      </c>
      <c r="AG70" s="11">
        <f t="shared" si="19"/>
        <v>-86599.98000000001</v>
      </c>
      <c r="AH70" s="11">
        <f t="shared" si="20"/>
        <v>61625</v>
      </c>
      <c r="AK70" s="11">
        <f t="shared" si="14"/>
        <v>2416127.6822883296</v>
      </c>
      <c r="AL70" s="11">
        <f t="shared" si="15"/>
        <v>2477752.6822883296</v>
      </c>
    </row>
    <row r="71" spans="1:38" s="11" customFormat="1" x14ac:dyDescent="0.2">
      <c r="A71" s="9" t="s">
        <v>109</v>
      </c>
      <c r="B71" s="26">
        <v>3530</v>
      </c>
      <c r="C71" s="11">
        <v>809307.87890000013</v>
      </c>
      <c r="D71" s="11">
        <v>23874.437553166073</v>
      </c>
      <c r="E71" s="11">
        <v>2812.9160255737702</v>
      </c>
      <c r="F71" s="11">
        <v>0</v>
      </c>
      <c r="G71" s="11">
        <v>1043.3369792307703</v>
      </c>
      <c r="H71" s="11">
        <v>0</v>
      </c>
      <c r="I71" s="11">
        <v>100000</v>
      </c>
      <c r="J71" s="11">
        <v>0</v>
      </c>
      <c r="K71" s="11">
        <v>2366.3999999999996</v>
      </c>
      <c r="L71" s="11">
        <v>-1510.4279999999987</v>
      </c>
      <c r="M71" s="11">
        <v>0</v>
      </c>
      <c r="N71" s="29">
        <f t="shared" si="16"/>
        <v>937894.54145797074</v>
      </c>
      <c r="O71" s="11">
        <v>0</v>
      </c>
      <c r="P71" s="11">
        <v>0</v>
      </c>
      <c r="Q71" s="29">
        <f t="shared" si="17"/>
        <v>937894.54145797074</v>
      </c>
      <c r="R71" s="11">
        <v>-24294.880000000001</v>
      </c>
      <c r="S71" s="29">
        <f t="shared" si="18"/>
        <v>913599.66145797074</v>
      </c>
      <c r="T71" s="11">
        <v>15675</v>
      </c>
      <c r="U71" s="11">
        <v>0</v>
      </c>
      <c r="V71" s="11">
        <v>13514.625</v>
      </c>
      <c r="X71" s="11">
        <v>0</v>
      </c>
      <c r="Y71" s="11">
        <v>107075.5926754949</v>
      </c>
      <c r="Z71" s="11">
        <v>0</v>
      </c>
      <c r="AA71" s="29">
        <f t="shared" si="13"/>
        <v>1049864.8791334657</v>
      </c>
      <c r="AC71" s="11">
        <f>SUMIF('ERS 2015-16'!B:B,B71,'ERS 2015-16'!AC:AC)</f>
        <v>0</v>
      </c>
      <c r="AG71" s="11">
        <f t="shared" si="19"/>
        <v>-1510.4279999999987</v>
      </c>
      <c r="AH71" s="11">
        <f t="shared" si="20"/>
        <v>2366.3999999999996</v>
      </c>
      <c r="AK71" s="11">
        <f t="shared" si="14"/>
        <v>1049008.9071334656</v>
      </c>
      <c r="AL71" s="11">
        <f t="shared" si="15"/>
        <v>1051375.3071334655</v>
      </c>
    </row>
    <row r="72" spans="1:38" s="11" customFormat="1" x14ac:dyDescent="0.2">
      <c r="A72" s="9" t="s">
        <v>67</v>
      </c>
      <c r="B72" s="26">
        <v>2459</v>
      </c>
      <c r="C72" s="11">
        <v>995678.46300000011</v>
      </c>
      <c r="D72" s="11">
        <v>38017.78671839492</v>
      </c>
      <c r="E72" s="11">
        <v>2720.3840876288659</v>
      </c>
      <c r="F72" s="11">
        <v>0</v>
      </c>
      <c r="G72" s="11">
        <v>15939.638543283567</v>
      </c>
      <c r="H72" s="11">
        <v>0</v>
      </c>
      <c r="I72" s="11">
        <v>100000</v>
      </c>
      <c r="J72" s="11">
        <v>0</v>
      </c>
      <c r="K72" s="11">
        <v>12941.25</v>
      </c>
      <c r="L72" s="11">
        <v>-11926.429999999998</v>
      </c>
      <c r="M72" s="11">
        <v>0</v>
      </c>
      <c r="N72" s="29">
        <f t="shared" si="16"/>
        <v>1153371.0923493076</v>
      </c>
      <c r="O72" s="11">
        <v>0</v>
      </c>
      <c r="P72" s="11">
        <v>0</v>
      </c>
      <c r="Q72" s="29">
        <f t="shared" si="17"/>
        <v>1153371.0923493076</v>
      </c>
      <c r="R72" s="11">
        <v>-29889.599999999999</v>
      </c>
      <c r="S72" s="29">
        <f t="shared" si="18"/>
        <v>1123481.4923493075</v>
      </c>
      <c r="T72" s="11">
        <v>15675</v>
      </c>
      <c r="U72" s="11">
        <v>0</v>
      </c>
      <c r="V72" s="11">
        <v>13514.625</v>
      </c>
      <c r="X72" s="11">
        <v>0</v>
      </c>
      <c r="Y72" s="11">
        <v>0</v>
      </c>
      <c r="Z72" s="11">
        <v>0</v>
      </c>
      <c r="AA72" s="29">
        <f t="shared" si="13"/>
        <v>1152671.1173493075</v>
      </c>
      <c r="AC72" s="11">
        <f>SUMIF('ERS 2015-16'!B:B,B72,'ERS 2015-16'!AC:AC)</f>
        <v>0</v>
      </c>
      <c r="AG72" s="11">
        <f t="shared" si="19"/>
        <v>-11926.429999999998</v>
      </c>
      <c r="AH72" s="11">
        <f t="shared" si="20"/>
        <v>12941.25</v>
      </c>
      <c r="AK72" s="11">
        <f t="shared" si="14"/>
        <v>1151656.2973493075</v>
      </c>
      <c r="AL72" s="11">
        <f t="shared" si="15"/>
        <v>1164597.5473493075</v>
      </c>
    </row>
    <row r="73" spans="1:38" s="11" customFormat="1" x14ac:dyDescent="0.2">
      <c r="A73" s="9"/>
      <c r="B73" s="26"/>
      <c r="S73" s="29"/>
      <c r="AA73" s="29"/>
    </row>
    <row r="74" spans="1:38" s="11" customFormat="1" x14ac:dyDescent="0.2">
      <c r="A74" s="1" t="s">
        <v>110</v>
      </c>
      <c r="B74" s="24" t="s">
        <v>110</v>
      </c>
      <c r="C74" s="29">
        <f t="shared" ref="C74:AA74" si="21">SUM(C2:C73)</f>
        <v>55872879.904499985</v>
      </c>
      <c r="D74" s="29">
        <f t="shared" si="21"/>
        <v>12920519.136036839</v>
      </c>
      <c r="E74" s="29">
        <f t="shared" si="21"/>
        <v>94356.570760851217</v>
      </c>
      <c r="F74" s="29">
        <f t="shared" si="21"/>
        <v>0</v>
      </c>
      <c r="G74" s="29">
        <f t="shared" si="21"/>
        <v>2859226.5163690951</v>
      </c>
      <c r="H74" s="29">
        <f t="shared" si="21"/>
        <v>414419.81200016075</v>
      </c>
      <c r="I74" s="29">
        <f t="shared" si="21"/>
        <v>7100000</v>
      </c>
      <c r="J74" s="29">
        <f t="shared" si="21"/>
        <v>0</v>
      </c>
      <c r="K74" s="29">
        <f t="shared" si="21"/>
        <v>991264.96</v>
      </c>
      <c r="L74" s="29">
        <f t="shared" si="21"/>
        <v>-731687.48696000001</v>
      </c>
      <c r="M74" s="29">
        <f t="shared" ref="M74" si="22">SUM(M2:M73)</f>
        <v>291738</v>
      </c>
      <c r="N74" s="29">
        <f t="shared" si="21"/>
        <v>79812717.412706956</v>
      </c>
      <c r="O74" s="29">
        <f t="shared" si="21"/>
        <v>1068237.2130873241</v>
      </c>
      <c r="P74" s="29">
        <f t="shared" si="21"/>
        <v>0</v>
      </c>
      <c r="Q74" s="29">
        <f t="shared" si="21"/>
        <v>80880954.625794277</v>
      </c>
      <c r="R74" s="29">
        <f t="shared" si="21"/>
        <v>-1510727.6799999999</v>
      </c>
      <c r="S74" s="29">
        <f t="shared" si="21"/>
        <v>79370226.945794284</v>
      </c>
      <c r="T74" s="29">
        <f t="shared" si="21"/>
        <v>1320785</v>
      </c>
      <c r="U74" s="29">
        <f t="shared" si="21"/>
        <v>2691605.72</v>
      </c>
      <c r="V74" s="29">
        <f t="shared" si="21"/>
        <v>1080544.3229166667</v>
      </c>
      <c r="W74" s="29">
        <f t="shared" si="21"/>
        <v>0</v>
      </c>
      <c r="X74" s="29">
        <f t="shared" si="21"/>
        <v>0</v>
      </c>
      <c r="Y74" s="29">
        <f t="shared" si="21"/>
        <v>4110999.4445212781</v>
      </c>
      <c r="Z74" s="29">
        <f t="shared" si="21"/>
        <v>0</v>
      </c>
      <c r="AA74" s="29">
        <f t="shared" si="21"/>
        <v>88574161.433232203</v>
      </c>
      <c r="AC74" s="29">
        <f>SUM(AC2:AC73)</f>
        <v>60142.13</v>
      </c>
      <c r="AE74" s="29"/>
      <c r="AG74" s="29">
        <f>SUM(AG2:AG73)</f>
        <v>-731687.48696000001</v>
      </c>
      <c r="AH74" s="29">
        <f>SUM(AH2:AH73)</f>
        <v>991264.96</v>
      </c>
      <c r="AK74" s="29">
        <f>SUM(AK2:AK73)</f>
        <v>88254441.830192223</v>
      </c>
      <c r="AL74" s="29">
        <f>SUM(AL2:AL73)</f>
        <v>89245706.790192217</v>
      </c>
    </row>
    <row r="75" spans="1:38" s="11" customFormat="1" x14ac:dyDescent="0.2">
      <c r="A75" s="9"/>
      <c r="B75" s="26"/>
      <c r="S75" s="29"/>
      <c r="AA75" s="29"/>
    </row>
    <row r="76" spans="1:38" s="11" customFormat="1" x14ac:dyDescent="0.2">
      <c r="A76" s="9" t="s">
        <v>75</v>
      </c>
      <c r="B76" s="26">
        <v>5402</v>
      </c>
      <c r="C76" s="11">
        <v>4970365.2</v>
      </c>
      <c r="D76" s="11">
        <v>196420.68979902432</v>
      </c>
      <c r="E76" s="11">
        <v>12142.321878045112</v>
      </c>
      <c r="F76" s="11">
        <v>177373.7348754449</v>
      </c>
      <c r="G76" s="11">
        <v>35285.020283509693</v>
      </c>
      <c r="H76" s="11">
        <v>0</v>
      </c>
      <c r="I76" s="11">
        <v>150000</v>
      </c>
      <c r="J76" s="11">
        <v>0</v>
      </c>
      <c r="K76" s="11">
        <v>39440</v>
      </c>
      <c r="L76" s="11">
        <v>0</v>
      </c>
      <c r="M76" s="11">
        <v>0</v>
      </c>
      <c r="N76" s="29">
        <f t="shared" ref="N76:N87" si="23">SUM(C76:M76)</f>
        <v>5581026.966836025</v>
      </c>
      <c r="O76" s="11">
        <v>0</v>
      </c>
      <c r="P76" s="11">
        <v>0</v>
      </c>
      <c r="Q76" s="29">
        <f t="shared" ref="Q76:Q87" si="24">SUM(N76:P76)</f>
        <v>5581026.966836025</v>
      </c>
      <c r="R76" s="11">
        <v>0</v>
      </c>
      <c r="S76" s="29">
        <f t="shared" ref="S76:S87" si="25">SUM(Q76+R76)</f>
        <v>5581026.966836025</v>
      </c>
      <c r="T76" s="11">
        <v>0</v>
      </c>
      <c r="U76" s="11">
        <v>0</v>
      </c>
      <c r="V76" s="11">
        <v>90553.520833333343</v>
      </c>
      <c r="X76" s="11">
        <v>1491436</v>
      </c>
      <c r="Y76" s="11">
        <v>0</v>
      </c>
      <c r="Z76" s="11">
        <v>0</v>
      </c>
      <c r="AA76" s="29">
        <f t="shared" ref="AA76:AA87" si="26">SUM(S76:Z76)</f>
        <v>7163016.487669358</v>
      </c>
      <c r="AC76" s="11">
        <f>SUMIF('ERS 2015-16'!B:B,B76,'ERS 2015-16'!AC:AC)</f>
        <v>0</v>
      </c>
      <c r="AG76" s="11">
        <f t="shared" ref="AG76:AG87" si="27">L76</f>
        <v>0</v>
      </c>
      <c r="AH76" s="11">
        <f t="shared" ref="AH76:AH87" si="28">K76</f>
        <v>39440</v>
      </c>
      <c r="AK76" s="11">
        <f t="shared" ref="AK76:AK88" si="29">AA76-AH76-AC76-L76-X76</f>
        <v>5632140.487669358</v>
      </c>
      <c r="AL76" s="11">
        <f t="shared" ref="AL76:AL88" si="30">AK76+AH76</f>
        <v>5671580.487669358</v>
      </c>
    </row>
    <row r="77" spans="1:38" s="11" customFormat="1" x14ac:dyDescent="0.2">
      <c r="A77" s="9" t="s">
        <v>68</v>
      </c>
      <c r="B77" s="26">
        <v>4608</v>
      </c>
      <c r="C77" s="11">
        <v>2081695.5736000002</v>
      </c>
      <c r="D77" s="11">
        <v>451725.04434545356</v>
      </c>
      <c r="E77" s="11">
        <v>5452.2331039999999</v>
      </c>
      <c r="F77" s="11">
        <v>169319.04189723334</v>
      </c>
      <c r="G77" s="11">
        <v>32665.824099999947</v>
      </c>
      <c r="H77" s="11">
        <v>0</v>
      </c>
      <c r="I77" s="11">
        <v>150000</v>
      </c>
      <c r="J77" s="11">
        <v>0</v>
      </c>
      <c r="K77" s="11">
        <v>25636</v>
      </c>
      <c r="L77" s="11">
        <v>-5097.5499999999993</v>
      </c>
      <c r="M77" s="11">
        <v>21184</v>
      </c>
      <c r="N77" s="29">
        <f t="shared" si="23"/>
        <v>2932580.1670466866</v>
      </c>
      <c r="O77" s="11">
        <v>156614.64460015856</v>
      </c>
      <c r="P77" s="11">
        <v>0</v>
      </c>
      <c r="Q77" s="29">
        <f t="shared" si="24"/>
        <v>3089194.8116468452</v>
      </c>
      <c r="R77" s="11">
        <v>-40104.06</v>
      </c>
      <c r="S77" s="29">
        <f t="shared" si="25"/>
        <v>3049090.7516468451</v>
      </c>
      <c r="T77" s="11">
        <v>0</v>
      </c>
      <c r="U77" s="11">
        <v>0</v>
      </c>
      <c r="V77" s="11">
        <v>91039.0625</v>
      </c>
      <c r="X77" s="11">
        <v>0</v>
      </c>
      <c r="Y77" s="11">
        <v>0</v>
      </c>
      <c r="Z77" s="11">
        <v>0</v>
      </c>
      <c r="AA77" s="29">
        <f t="shared" si="26"/>
        <v>3140129.8141468451</v>
      </c>
      <c r="AC77" s="11">
        <f>SUMIF('ERS 2015-16'!B:B,B77,'ERS 2015-16'!AC:AC)</f>
        <v>0</v>
      </c>
      <c r="AG77" s="11">
        <f t="shared" si="27"/>
        <v>-5097.5499999999993</v>
      </c>
      <c r="AH77" s="11">
        <f t="shared" si="28"/>
        <v>25636</v>
      </c>
      <c r="AK77" s="11">
        <f t="shared" si="29"/>
        <v>3119591.3641468449</v>
      </c>
      <c r="AL77" s="11">
        <f t="shared" si="30"/>
        <v>3145227.3641468449</v>
      </c>
    </row>
    <row r="78" spans="1:38" s="11" customFormat="1" x14ac:dyDescent="0.2">
      <c r="A78" s="9" t="s">
        <v>111</v>
      </c>
      <c r="B78" s="26">
        <v>4178</v>
      </c>
      <c r="C78" s="11">
        <v>4900434.6136000007</v>
      </c>
      <c r="D78" s="11">
        <v>710994.79645570612</v>
      </c>
      <c r="E78" s="11">
        <v>10735.450757240333</v>
      </c>
      <c r="F78" s="11">
        <v>293286.58728682186</v>
      </c>
      <c r="G78" s="11">
        <v>121354.5029759999</v>
      </c>
      <c r="H78" s="11">
        <v>0</v>
      </c>
      <c r="I78" s="11">
        <v>150000</v>
      </c>
      <c r="J78" s="11">
        <v>0</v>
      </c>
      <c r="K78" s="11">
        <v>20804.599999999991</v>
      </c>
      <c r="L78" s="11">
        <v>-21403.16</v>
      </c>
      <c r="M78" s="11">
        <v>0</v>
      </c>
      <c r="N78" s="29">
        <f t="shared" si="23"/>
        <v>6186207.3910757685</v>
      </c>
      <c r="O78" s="11">
        <v>15250.254589177668</v>
      </c>
      <c r="P78" s="11">
        <v>0</v>
      </c>
      <c r="Q78" s="29">
        <f t="shared" si="24"/>
        <v>6201457.6456649462</v>
      </c>
      <c r="R78" s="11">
        <v>-94686.12</v>
      </c>
      <c r="S78" s="29">
        <f t="shared" si="25"/>
        <v>6106771.5256649461</v>
      </c>
      <c r="T78" s="11">
        <v>0</v>
      </c>
      <c r="U78" s="11">
        <v>0</v>
      </c>
      <c r="V78" s="11">
        <v>46369.229166666672</v>
      </c>
      <c r="X78" s="11">
        <v>824461.66666666663</v>
      </c>
      <c r="Y78" s="11">
        <v>0</v>
      </c>
      <c r="Z78" s="11">
        <v>0</v>
      </c>
      <c r="AA78" s="29">
        <f t="shared" si="26"/>
        <v>6977602.42149828</v>
      </c>
      <c r="AC78" s="11">
        <f>SUMIF('ERS 2015-16'!B:B,B78,'ERS 2015-16'!AC:AC)</f>
        <v>0</v>
      </c>
      <c r="AG78" s="11">
        <f t="shared" si="27"/>
        <v>-21403.16</v>
      </c>
      <c r="AH78" s="11">
        <f t="shared" si="28"/>
        <v>20804.599999999991</v>
      </c>
      <c r="AK78" s="11">
        <f t="shared" si="29"/>
        <v>6153739.3148316136</v>
      </c>
      <c r="AL78" s="11">
        <f t="shared" si="30"/>
        <v>6174543.9148316132</v>
      </c>
    </row>
    <row r="79" spans="1:38" s="11" customFormat="1" x14ac:dyDescent="0.2">
      <c r="A79" s="9" t="s">
        <v>69</v>
      </c>
      <c r="B79" s="26">
        <v>4181</v>
      </c>
      <c r="C79" s="11">
        <v>3980652.8528</v>
      </c>
      <c r="D79" s="11">
        <v>364367.77599773696</v>
      </c>
      <c r="E79" s="11">
        <v>1329.4541146950091</v>
      </c>
      <c r="F79" s="11">
        <v>247853.72082595865</v>
      </c>
      <c r="G79" s="11">
        <v>9911.1662675324715</v>
      </c>
      <c r="H79" s="11">
        <v>0</v>
      </c>
      <c r="I79" s="11">
        <v>150000</v>
      </c>
      <c r="J79" s="11">
        <v>0</v>
      </c>
      <c r="K79" s="11">
        <v>17945.199999999997</v>
      </c>
      <c r="L79" s="11">
        <v>0</v>
      </c>
      <c r="M79" s="11">
        <v>0</v>
      </c>
      <c r="N79" s="29">
        <f t="shared" si="23"/>
        <v>4772060.1700059241</v>
      </c>
      <c r="O79" s="11">
        <v>0</v>
      </c>
      <c r="P79" s="11">
        <v>0</v>
      </c>
      <c r="Q79" s="29">
        <f t="shared" si="24"/>
        <v>4772060.1700059241</v>
      </c>
      <c r="R79" s="11">
        <v>0</v>
      </c>
      <c r="S79" s="29">
        <f t="shared" si="25"/>
        <v>4772060.1700059241</v>
      </c>
      <c r="T79" s="11">
        <v>0</v>
      </c>
      <c r="U79" s="11">
        <v>255340.16000000003</v>
      </c>
      <c r="V79" s="11">
        <v>8739.75</v>
      </c>
      <c r="X79" s="11">
        <v>486981</v>
      </c>
      <c r="Y79" s="11">
        <v>0</v>
      </c>
      <c r="Z79" s="11">
        <v>0</v>
      </c>
      <c r="AA79" s="29">
        <f t="shared" si="26"/>
        <v>5523121.0800059242</v>
      </c>
      <c r="AC79" s="11">
        <f>SUMIF('ERS 2015-16'!B:B,B79,'ERS 2015-16'!AC:AC)</f>
        <v>0</v>
      </c>
      <c r="AG79" s="11">
        <f t="shared" si="27"/>
        <v>0</v>
      </c>
      <c r="AH79" s="11">
        <f t="shared" si="28"/>
        <v>17945.199999999997</v>
      </c>
      <c r="AK79" s="11">
        <f t="shared" si="29"/>
        <v>5018194.880005924</v>
      </c>
      <c r="AL79" s="11">
        <f t="shared" si="30"/>
        <v>5036140.0800059242</v>
      </c>
    </row>
    <row r="80" spans="1:38" s="11" customFormat="1" x14ac:dyDescent="0.2">
      <c r="A80" s="9" t="s">
        <v>70</v>
      </c>
      <c r="B80" s="26">
        <v>4182</v>
      </c>
      <c r="C80" s="11">
        <v>5223144.5624000002</v>
      </c>
      <c r="D80" s="11">
        <v>167320.45757627505</v>
      </c>
      <c r="E80" s="11">
        <v>12436.941212125637</v>
      </c>
      <c r="F80" s="11">
        <v>189901.94138041686</v>
      </c>
      <c r="G80" s="11">
        <v>75653.247708542753</v>
      </c>
      <c r="H80" s="11">
        <v>0</v>
      </c>
      <c r="I80" s="11">
        <v>150000</v>
      </c>
      <c r="J80" s="11">
        <v>0</v>
      </c>
      <c r="K80" s="11">
        <v>99586</v>
      </c>
      <c r="L80" s="11">
        <v>-1583.679999999993</v>
      </c>
      <c r="M80" s="11">
        <v>0</v>
      </c>
      <c r="N80" s="29">
        <f t="shared" si="23"/>
        <v>5916459.4702773616</v>
      </c>
      <c r="O80" s="11">
        <v>0</v>
      </c>
      <c r="P80" s="11">
        <v>0</v>
      </c>
      <c r="Q80" s="29">
        <f t="shared" si="24"/>
        <v>5916459.4702773616</v>
      </c>
      <c r="R80" s="11">
        <v>-101201.22</v>
      </c>
      <c r="S80" s="29">
        <f t="shared" si="25"/>
        <v>5815258.2502773618</v>
      </c>
      <c r="T80" s="11">
        <v>0</v>
      </c>
      <c r="U80" s="11">
        <v>0</v>
      </c>
      <c r="V80" s="11">
        <v>49039.708333333336</v>
      </c>
      <c r="X80" s="11">
        <v>1083605.6666666667</v>
      </c>
      <c r="Y80" s="11">
        <v>0</v>
      </c>
      <c r="Z80" s="11">
        <v>0</v>
      </c>
      <c r="AA80" s="29">
        <f t="shared" si="26"/>
        <v>6947903.6252773618</v>
      </c>
      <c r="AC80" s="11">
        <f>SUMIF('ERS 2015-16'!B:B,B80,'ERS 2015-16'!AC:AC)</f>
        <v>0</v>
      </c>
      <c r="AG80" s="11">
        <f t="shared" si="27"/>
        <v>-1583.679999999993</v>
      </c>
      <c r="AH80" s="11">
        <f t="shared" si="28"/>
        <v>99586</v>
      </c>
      <c r="AK80" s="11">
        <f t="shared" si="29"/>
        <v>5766295.6386106946</v>
      </c>
      <c r="AL80" s="11">
        <f t="shared" si="30"/>
        <v>5865881.6386106946</v>
      </c>
    </row>
    <row r="81" spans="1:42" s="11" customFormat="1" x14ac:dyDescent="0.2">
      <c r="A81" s="9" t="s">
        <v>71</v>
      </c>
      <c r="B81" s="39">
        <v>4001</v>
      </c>
      <c r="C81" s="11">
        <v>2753166.2944</v>
      </c>
      <c r="D81" s="11">
        <v>677113.37315309048</v>
      </c>
      <c r="E81" s="11">
        <v>8809.681747964376</v>
      </c>
      <c r="F81" s="11">
        <v>343189.20105263148</v>
      </c>
      <c r="G81" s="11">
        <v>151386.62774999996</v>
      </c>
      <c r="H81" s="11">
        <v>0</v>
      </c>
      <c r="I81" s="11">
        <v>150000</v>
      </c>
      <c r="J81" s="11">
        <v>0</v>
      </c>
      <c r="K81" s="11">
        <v>43137.5</v>
      </c>
      <c r="L81" s="11">
        <v>0</v>
      </c>
      <c r="M81" s="11">
        <v>324718</v>
      </c>
      <c r="N81" s="29">
        <f t="shared" si="23"/>
        <v>4451520.6781036863</v>
      </c>
      <c r="O81" s="11">
        <v>0</v>
      </c>
      <c r="P81" s="11">
        <v>0</v>
      </c>
      <c r="Q81" s="29">
        <f t="shared" si="24"/>
        <v>4451520.6781036863</v>
      </c>
      <c r="R81" s="11">
        <v>0</v>
      </c>
      <c r="S81" s="29">
        <f t="shared" si="25"/>
        <v>4451520.6781036863</v>
      </c>
      <c r="T81" s="11">
        <v>0</v>
      </c>
      <c r="U81" s="11">
        <v>0</v>
      </c>
      <c r="V81" s="11">
        <v>25369.552083333336</v>
      </c>
      <c r="X81" s="11">
        <v>524934</v>
      </c>
      <c r="Y81" s="11">
        <v>0</v>
      </c>
      <c r="Z81" s="11">
        <v>0</v>
      </c>
      <c r="AA81" s="29">
        <f t="shared" si="26"/>
        <v>5001824.2301870193</v>
      </c>
      <c r="AC81" s="11">
        <f>SUMIF('ERS 2015-16'!B:B,B81,'ERS 2015-16'!AC:AC)</f>
        <v>0</v>
      </c>
      <c r="AG81" s="11">
        <f t="shared" si="27"/>
        <v>0</v>
      </c>
      <c r="AH81" s="11">
        <f t="shared" si="28"/>
        <v>43137.5</v>
      </c>
      <c r="AK81" s="11">
        <f t="shared" si="29"/>
        <v>4433752.7301870193</v>
      </c>
      <c r="AL81" s="11">
        <f t="shared" si="30"/>
        <v>4476890.2301870193</v>
      </c>
    </row>
    <row r="82" spans="1:42" s="11" customFormat="1" x14ac:dyDescent="0.2">
      <c r="A82" s="9" t="s">
        <v>112</v>
      </c>
      <c r="B82" s="26">
        <v>5406</v>
      </c>
      <c r="C82" s="11">
        <v>3218421.4183999998</v>
      </c>
      <c r="D82" s="11">
        <v>388650.40708433313</v>
      </c>
      <c r="E82" s="11">
        <v>5368.9108051044077</v>
      </c>
      <c r="F82" s="11">
        <v>214375.9469879517</v>
      </c>
      <c r="G82" s="11">
        <v>78353.635092352895</v>
      </c>
      <c r="H82" s="11">
        <v>0</v>
      </c>
      <c r="I82" s="11">
        <v>150000</v>
      </c>
      <c r="J82" s="11">
        <v>0</v>
      </c>
      <c r="K82" s="11">
        <v>25143</v>
      </c>
      <c r="L82" s="11">
        <v>-399.83999999999651</v>
      </c>
      <c r="M82" s="11">
        <v>0</v>
      </c>
      <c r="N82" s="29">
        <f t="shared" si="23"/>
        <v>4079913.4783697422</v>
      </c>
      <c r="O82" s="11">
        <v>0</v>
      </c>
      <c r="P82" s="11">
        <v>0</v>
      </c>
      <c r="Q82" s="29">
        <f t="shared" si="24"/>
        <v>4079913.4783697422</v>
      </c>
      <c r="R82" s="11">
        <v>-61893.45</v>
      </c>
      <c r="S82" s="29">
        <f t="shared" si="25"/>
        <v>4018020.028369742</v>
      </c>
      <c r="T82" s="11">
        <v>0</v>
      </c>
      <c r="U82" s="11">
        <v>0</v>
      </c>
      <c r="V82" s="11">
        <v>14566.25</v>
      </c>
      <c r="X82" s="11">
        <v>0</v>
      </c>
      <c r="Y82" s="11">
        <v>0</v>
      </c>
      <c r="Z82" s="11">
        <v>0</v>
      </c>
      <c r="AA82" s="29">
        <f t="shared" si="26"/>
        <v>4032586.278369742</v>
      </c>
      <c r="AC82" s="11">
        <f>SUMIF('ERS 2015-16'!B:B,B82,'ERS 2015-16'!AC:AC)</f>
        <v>0</v>
      </c>
      <c r="AG82" s="11">
        <f t="shared" si="27"/>
        <v>-399.83999999999651</v>
      </c>
      <c r="AH82" s="11">
        <f t="shared" si="28"/>
        <v>25143</v>
      </c>
      <c r="AK82" s="11">
        <f t="shared" si="29"/>
        <v>4007843.1183697418</v>
      </c>
      <c r="AL82" s="11">
        <f t="shared" si="30"/>
        <v>4032986.1183697418</v>
      </c>
    </row>
    <row r="83" spans="1:42" s="11" customFormat="1" x14ac:dyDescent="0.2">
      <c r="A83" s="9" t="s">
        <v>113</v>
      </c>
      <c r="B83" s="26">
        <v>5407</v>
      </c>
      <c r="C83" s="11">
        <v>3862558.3168000001</v>
      </c>
      <c r="D83" s="11">
        <v>617038.33202540176</v>
      </c>
      <c r="E83" s="11">
        <v>8361.6673701492527</v>
      </c>
      <c r="F83" s="11">
        <v>306567.5588785045</v>
      </c>
      <c r="G83" s="11">
        <v>62818.892500000053</v>
      </c>
      <c r="H83" s="11">
        <v>0</v>
      </c>
      <c r="I83" s="11">
        <v>150000</v>
      </c>
      <c r="J83" s="11">
        <v>0</v>
      </c>
      <c r="K83" s="11">
        <v>27361.5</v>
      </c>
      <c r="L83" s="11">
        <v>-435.11999999999534</v>
      </c>
      <c r="M83" s="11">
        <v>395815</v>
      </c>
      <c r="N83" s="29">
        <f t="shared" si="23"/>
        <v>5430086.147574055</v>
      </c>
      <c r="O83" s="11">
        <v>13907.830214153044</v>
      </c>
      <c r="P83" s="11">
        <v>0</v>
      </c>
      <c r="Q83" s="29">
        <f t="shared" si="24"/>
        <v>5443993.9777882081</v>
      </c>
      <c r="R83" s="11">
        <v>-74923.649999999994</v>
      </c>
      <c r="S83" s="29">
        <f t="shared" si="25"/>
        <v>5369070.3277882077</v>
      </c>
      <c r="T83" s="11">
        <v>0</v>
      </c>
      <c r="U83" s="11">
        <v>0</v>
      </c>
      <c r="V83" s="11">
        <v>41756.583333333336</v>
      </c>
      <c r="X83" s="11">
        <v>650442.83440860221</v>
      </c>
      <c r="Y83" s="11">
        <v>0</v>
      </c>
      <c r="Z83" s="11">
        <v>0</v>
      </c>
      <c r="AA83" s="29">
        <f t="shared" si="26"/>
        <v>6061269.7455301434</v>
      </c>
      <c r="AC83" s="11">
        <f>SUMIF('ERS 2015-16'!B:B,B83,'ERS 2015-16'!AC:AC)</f>
        <v>0</v>
      </c>
      <c r="AG83" s="11">
        <f t="shared" si="27"/>
        <v>-435.11999999999534</v>
      </c>
      <c r="AH83" s="11">
        <f t="shared" si="28"/>
        <v>27361.5</v>
      </c>
      <c r="AK83" s="11">
        <f t="shared" si="29"/>
        <v>5383900.5311215408</v>
      </c>
      <c r="AL83" s="11">
        <f t="shared" si="30"/>
        <v>5411262.0311215408</v>
      </c>
    </row>
    <row r="84" spans="1:42" s="11" customFormat="1" x14ac:dyDescent="0.2">
      <c r="A84" s="9" t="s">
        <v>72</v>
      </c>
      <c r="B84" s="26">
        <v>4607</v>
      </c>
      <c r="C84" s="11">
        <v>4286846.1655999999</v>
      </c>
      <c r="D84" s="11">
        <v>589657.13893797668</v>
      </c>
      <c r="E84" s="11">
        <v>2653.0474924528298</v>
      </c>
      <c r="F84" s="11">
        <v>290896.54497017938</v>
      </c>
      <c r="G84" s="11">
        <v>115869.3124117597</v>
      </c>
      <c r="H84" s="11">
        <v>0</v>
      </c>
      <c r="I84" s="11">
        <v>150000</v>
      </c>
      <c r="J84" s="11">
        <v>19329.921551105632</v>
      </c>
      <c r="K84" s="11">
        <v>24650</v>
      </c>
      <c r="L84" s="11">
        <v>0</v>
      </c>
      <c r="M84" s="11">
        <v>0</v>
      </c>
      <c r="N84" s="29">
        <f t="shared" si="23"/>
        <v>5479902.1309634736</v>
      </c>
      <c r="O84" s="11">
        <v>0</v>
      </c>
      <c r="P84" s="11">
        <v>0</v>
      </c>
      <c r="Q84" s="29">
        <f t="shared" si="24"/>
        <v>5479902.1309634736</v>
      </c>
      <c r="R84" s="11">
        <v>0</v>
      </c>
      <c r="S84" s="29">
        <f t="shared" si="25"/>
        <v>5479902.1309634736</v>
      </c>
      <c r="T84" s="11">
        <v>0</v>
      </c>
      <c r="U84" s="11">
        <v>649693.21</v>
      </c>
      <c r="V84" s="11">
        <v>37872.25</v>
      </c>
      <c r="X84" s="11">
        <v>1265504</v>
      </c>
      <c r="Y84" s="11">
        <v>0</v>
      </c>
      <c r="Z84" s="11">
        <v>0</v>
      </c>
      <c r="AA84" s="29">
        <f t="shared" si="26"/>
        <v>7432971.5909634735</v>
      </c>
      <c r="AC84" s="11">
        <f>SUMIF('ERS 2015-16'!B:B,B84,'ERS 2015-16'!AC:AC)</f>
        <v>131540.29999999999</v>
      </c>
      <c r="AG84" s="11">
        <f t="shared" si="27"/>
        <v>0</v>
      </c>
      <c r="AH84" s="11">
        <f t="shared" si="28"/>
        <v>24650</v>
      </c>
      <c r="AK84" s="11">
        <f t="shared" si="29"/>
        <v>6011277.2909634737</v>
      </c>
      <c r="AL84" s="11">
        <f t="shared" si="30"/>
        <v>6035927.2909634737</v>
      </c>
    </row>
    <row r="85" spans="1:42" s="11" customFormat="1" x14ac:dyDescent="0.2">
      <c r="A85" s="9" t="s">
        <v>452</v>
      </c>
      <c r="B85" s="39">
        <v>4002</v>
      </c>
      <c r="C85" s="11">
        <v>2925522.5912000001</v>
      </c>
      <c r="D85" s="11">
        <v>514156.74608807557</v>
      </c>
      <c r="E85" s="11">
        <v>4177.7880658730155</v>
      </c>
      <c r="F85" s="11">
        <v>308420.09996715892</v>
      </c>
      <c r="G85" s="11">
        <v>198507.70029999965</v>
      </c>
      <c r="H85" s="11">
        <v>0</v>
      </c>
      <c r="I85" s="11">
        <v>150000</v>
      </c>
      <c r="J85" s="11">
        <v>0</v>
      </c>
      <c r="K85" s="11">
        <v>44863</v>
      </c>
      <c r="L85" s="11">
        <v>0</v>
      </c>
      <c r="M85" s="11">
        <v>0</v>
      </c>
      <c r="N85" s="29">
        <f t="shared" si="23"/>
        <v>4145647.9256211072</v>
      </c>
      <c r="O85" s="11">
        <v>0</v>
      </c>
      <c r="P85" s="11">
        <v>0</v>
      </c>
      <c r="Q85" s="29">
        <f t="shared" si="24"/>
        <v>4145647.9256211072</v>
      </c>
      <c r="R85" s="11">
        <v>0</v>
      </c>
      <c r="S85" s="29">
        <f t="shared" si="25"/>
        <v>4145647.9256211072</v>
      </c>
      <c r="T85" s="11">
        <v>0</v>
      </c>
      <c r="U85" s="11">
        <v>0</v>
      </c>
      <c r="V85" s="11">
        <v>17479.5</v>
      </c>
      <c r="X85" s="11">
        <v>0</v>
      </c>
      <c r="Y85" s="11">
        <v>0</v>
      </c>
      <c r="Z85" s="11">
        <v>0</v>
      </c>
      <c r="AA85" s="29">
        <f t="shared" si="26"/>
        <v>4163127.4256211072</v>
      </c>
      <c r="AC85" s="11">
        <f>SUMIF('ERS 2015-16'!B:B,B85,'ERS 2015-16'!AC:AC)</f>
        <v>0</v>
      </c>
      <c r="AG85" s="11">
        <f t="shared" si="27"/>
        <v>0</v>
      </c>
      <c r="AH85" s="11">
        <f t="shared" si="28"/>
        <v>44863</v>
      </c>
      <c r="AK85" s="11">
        <f t="shared" si="29"/>
        <v>4118264.4256211072</v>
      </c>
      <c r="AL85" s="11">
        <f t="shared" si="30"/>
        <v>4163127.4256211072</v>
      </c>
    </row>
    <row r="86" spans="1:42" s="11" customFormat="1" x14ac:dyDescent="0.2">
      <c r="A86" s="9" t="s">
        <v>74</v>
      </c>
      <c r="B86" s="26">
        <v>5412</v>
      </c>
      <c r="C86" s="11">
        <v>4714629</v>
      </c>
      <c r="D86" s="11">
        <v>335484.69222747046</v>
      </c>
      <c r="E86" s="11">
        <v>5482.6539626107979</v>
      </c>
      <c r="F86" s="11">
        <v>234813.77546887947</v>
      </c>
      <c r="G86" s="11">
        <v>12583.800457768923</v>
      </c>
      <c r="H86" s="11">
        <v>0</v>
      </c>
      <c r="I86" s="11">
        <v>150000</v>
      </c>
      <c r="J86" s="11">
        <v>0</v>
      </c>
      <c r="K86" s="11">
        <v>21001.799999999988</v>
      </c>
      <c r="L86" s="11">
        <v>0</v>
      </c>
      <c r="M86" s="11">
        <v>0</v>
      </c>
      <c r="N86" s="29">
        <f t="shared" si="23"/>
        <v>5473995.7221167302</v>
      </c>
      <c r="O86" s="11">
        <v>0</v>
      </c>
      <c r="P86" s="11">
        <v>0</v>
      </c>
      <c r="Q86" s="29">
        <f t="shared" si="24"/>
        <v>5473995.7221167302</v>
      </c>
      <c r="R86" s="11">
        <v>0</v>
      </c>
      <c r="S86" s="29">
        <f t="shared" si="25"/>
        <v>5473995.7221167302</v>
      </c>
      <c r="T86" s="11">
        <v>0</v>
      </c>
      <c r="U86" s="11">
        <v>0</v>
      </c>
      <c r="V86" s="11">
        <v>21363.833333333336</v>
      </c>
      <c r="X86" s="11">
        <v>0</v>
      </c>
      <c r="Y86" s="11">
        <v>0</v>
      </c>
      <c r="Z86" s="11">
        <v>0</v>
      </c>
      <c r="AA86" s="29">
        <f t="shared" si="26"/>
        <v>5495359.5554500632</v>
      </c>
      <c r="AC86" s="11">
        <f>SUMIF('ERS 2015-16'!B:B,B86,'ERS 2015-16'!AC:AC)</f>
        <v>0</v>
      </c>
      <c r="AG86" s="11">
        <f t="shared" si="27"/>
        <v>0</v>
      </c>
      <c r="AH86" s="11">
        <f t="shared" si="28"/>
        <v>21001.799999999988</v>
      </c>
      <c r="AK86" s="11">
        <f t="shared" si="29"/>
        <v>5474357.7554500634</v>
      </c>
      <c r="AL86" s="11">
        <f t="shared" si="30"/>
        <v>5495359.5554500632</v>
      </c>
    </row>
    <row r="87" spans="1:42" s="11" customFormat="1" x14ac:dyDescent="0.2">
      <c r="A87" s="9" t="s">
        <v>73</v>
      </c>
      <c r="B87" s="26">
        <v>5414</v>
      </c>
      <c r="C87" s="11">
        <v>3892996.2856000001</v>
      </c>
      <c r="D87" s="11">
        <v>243617.48017471068</v>
      </c>
      <c r="E87" s="11">
        <v>2719.495337258687</v>
      </c>
      <c r="F87" s="11">
        <v>144002.93244249688</v>
      </c>
      <c r="G87" s="11">
        <v>57243.491650903939</v>
      </c>
      <c r="H87" s="11">
        <v>0</v>
      </c>
      <c r="I87" s="11">
        <v>150000</v>
      </c>
      <c r="J87" s="11">
        <v>0</v>
      </c>
      <c r="K87" s="11">
        <v>24354.199999999997</v>
      </c>
      <c r="L87" s="11">
        <v>0</v>
      </c>
      <c r="M87" s="11">
        <v>0</v>
      </c>
      <c r="N87" s="29">
        <f t="shared" si="23"/>
        <v>4514933.8852053694</v>
      </c>
      <c r="O87" s="11">
        <v>0</v>
      </c>
      <c r="P87" s="11">
        <v>0</v>
      </c>
      <c r="Q87" s="29">
        <f t="shared" si="24"/>
        <v>4514933.8852053694</v>
      </c>
      <c r="R87" s="11">
        <v>0</v>
      </c>
      <c r="S87" s="29">
        <f t="shared" si="25"/>
        <v>4514933.8852053694</v>
      </c>
      <c r="T87" s="11">
        <v>0</v>
      </c>
      <c r="U87" s="11">
        <v>213776.5</v>
      </c>
      <c r="V87" s="11">
        <v>33866.53125</v>
      </c>
      <c r="X87" s="11">
        <v>870388</v>
      </c>
      <c r="Y87" s="11">
        <v>0</v>
      </c>
      <c r="Z87" s="11">
        <v>0</v>
      </c>
      <c r="AA87" s="29">
        <f t="shared" si="26"/>
        <v>5632964.9164553694</v>
      </c>
      <c r="AC87" s="11">
        <f>SUMIF('ERS 2015-16'!B:B,B87,'ERS 2015-16'!AC:AC)</f>
        <v>5269.75</v>
      </c>
      <c r="AG87" s="11">
        <f t="shared" si="27"/>
        <v>0</v>
      </c>
      <c r="AH87" s="11">
        <f t="shared" si="28"/>
        <v>24354.199999999997</v>
      </c>
      <c r="AK87" s="11">
        <f t="shared" si="29"/>
        <v>4732952.9664553693</v>
      </c>
      <c r="AL87" s="11">
        <f t="shared" si="30"/>
        <v>4757307.1664553694</v>
      </c>
    </row>
    <row r="88" spans="1:42" x14ac:dyDescent="0.2">
      <c r="A88" s="60" t="s">
        <v>453</v>
      </c>
      <c r="B88" s="22">
        <v>6905</v>
      </c>
      <c r="C88" s="11">
        <v>3162404.6424000002</v>
      </c>
      <c r="D88" s="11">
        <v>355396.08319092944</v>
      </c>
      <c r="E88" s="11">
        <v>8090.5423480519476</v>
      </c>
      <c r="F88" s="11">
        <v>117954.64917333356</v>
      </c>
      <c r="G88" s="11">
        <v>42716.846899999931</v>
      </c>
      <c r="H88" s="11">
        <v>0</v>
      </c>
      <c r="I88" s="11">
        <v>150000</v>
      </c>
      <c r="J88" s="11">
        <v>0</v>
      </c>
      <c r="K88" s="11">
        <v>39193.5</v>
      </c>
      <c r="L88" s="11">
        <v>0</v>
      </c>
      <c r="M88" s="11">
        <v>0</v>
      </c>
      <c r="N88" s="29">
        <f t="shared" ref="N88" si="31">SUM(C88:M88)</f>
        <v>3875756.2640123153</v>
      </c>
      <c r="O88" s="11">
        <v>0</v>
      </c>
      <c r="P88" s="11">
        <v>0</v>
      </c>
      <c r="Q88" s="29">
        <f t="shared" ref="Q88" si="32">SUM(N88:P88)</f>
        <v>3875756.2640123153</v>
      </c>
      <c r="R88" s="11">
        <v>0</v>
      </c>
      <c r="S88" s="29">
        <f t="shared" ref="S88" si="33">SUM(Q88+R88)</f>
        <v>3875756.2640123153</v>
      </c>
      <c r="T88" s="11">
        <v>0</v>
      </c>
      <c r="U88" s="11">
        <v>0</v>
      </c>
      <c r="V88" s="11">
        <v>153552.55208333334</v>
      </c>
      <c r="X88" s="11">
        <v>1319300</v>
      </c>
      <c r="Y88" s="11">
        <v>0</v>
      </c>
      <c r="Z88" s="11">
        <v>0</v>
      </c>
      <c r="AA88" s="29">
        <f t="shared" ref="AA88" si="34">SUM(S88:Z88)</f>
        <v>5348608.8160956483</v>
      </c>
      <c r="AG88" s="11">
        <f>L88</f>
        <v>0</v>
      </c>
      <c r="AH88" s="11">
        <f>K88</f>
        <v>39193.5</v>
      </c>
      <c r="AK88" s="11">
        <f t="shared" si="29"/>
        <v>3990115.3160956483</v>
      </c>
      <c r="AL88" s="11">
        <f t="shared" si="30"/>
        <v>4029308.8160956483</v>
      </c>
      <c r="AO88" s="11"/>
      <c r="AP88" s="11"/>
    </row>
    <row r="89" spans="1:42" s="11" customFormat="1" x14ac:dyDescent="0.2">
      <c r="A89" s="1" t="s">
        <v>115</v>
      </c>
      <c r="B89" s="24" t="s">
        <v>115</v>
      </c>
      <c r="C89" s="29">
        <f t="shared" ref="C89:AA89" si="35">SUM(C76:C88)</f>
        <v>49972837.516800001</v>
      </c>
      <c r="D89" s="29">
        <f t="shared" si="35"/>
        <v>5611943.0170561848</v>
      </c>
      <c r="E89" s="29">
        <f t="shared" si="35"/>
        <v>87760.18819557142</v>
      </c>
      <c r="F89" s="29">
        <f t="shared" si="35"/>
        <v>3037955.7352070115</v>
      </c>
      <c r="G89" s="29">
        <f t="shared" si="35"/>
        <v>994350.06839836994</v>
      </c>
      <c r="H89" s="29">
        <f t="shared" si="35"/>
        <v>0</v>
      </c>
      <c r="I89" s="29">
        <f t="shared" si="35"/>
        <v>1950000</v>
      </c>
      <c r="J89" s="29">
        <f t="shared" si="35"/>
        <v>19329.921551105632</v>
      </c>
      <c r="K89" s="29">
        <f t="shared" si="35"/>
        <v>453116.3</v>
      </c>
      <c r="L89" s="29">
        <f t="shared" si="35"/>
        <v>-28919.349999999984</v>
      </c>
      <c r="M89" s="29">
        <f t="shared" si="35"/>
        <v>741717</v>
      </c>
      <c r="N89" s="29">
        <f t="shared" si="35"/>
        <v>62840090.397208236</v>
      </c>
      <c r="O89" s="29">
        <f t="shared" si="35"/>
        <v>185772.72940348927</v>
      </c>
      <c r="P89" s="29">
        <f t="shared" si="35"/>
        <v>0</v>
      </c>
      <c r="Q89" s="29">
        <f t="shared" si="35"/>
        <v>63025863.126611732</v>
      </c>
      <c r="R89" s="29">
        <f t="shared" si="35"/>
        <v>-372808.5</v>
      </c>
      <c r="S89" s="29">
        <f t="shared" si="35"/>
        <v>62653054.626611732</v>
      </c>
      <c r="T89" s="29">
        <f t="shared" si="35"/>
        <v>0</v>
      </c>
      <c r="U89" s="29">
        <f t="shared" si="35"/>
        <v>1118809.8700000001</v>
      </c>
      <c r="V89" s="29">
        <f t="shared" si="35"/>
        <v>631568.32291666663</v>
      </c>
      <c r="W89" s="29">
        <f t="shared" si="35"/>
        <v>0</v>
      </c>
      <c r="X89" s="29">
        <f t="shared" si="35"/>
        <v>8517053.1677419357</v>
      </c>
      <c r="Y89" s="29">
        <f t="shared" si="35"/>
        <v>0</v>
      </c>
      <c r="Z89" s="29">
        <f t="shared" si="35"/>
        <v>0</v>
      </c>
      <c r="AA89" s="29">
        <f t="shared" si="35"/>
        <v>72920485.98727034</v>
      </c>
      <c r="AC89" s="29">
        <f>SUM(AC76:AC88)</f>
        <v>136810.04999999999</v>
      </c>
      <c r="AE89" s="29"/>
      <c r="AF89" s="29">
        <f>SUM(AF76:AF88)</f>
        <v>0</v>
      </c>
      <c r="AG89" s="29">
        <f>SUM(AG76:AG88)</f>
        <v>-28919.349999999984</v>
      </c>
      <c r="AH89" s="29">
        <f>SUM(AH76:AH88)</f>
        <v>453116.3</v>
      </c>
      <c r="AI89" s="29"/>
      <c r="AK89" s="29">
        <f>SUM(AK76:AK88)</f>
        <v>63842425.819528393</v>
      </c>
      <c r="AL89" s="29">
        <f>SUM(AL76:AL88)</f>
        <v>64295542.119528413</v>
      </c>
    </row>
    <row r="90" spans="1:42" s="11" customFormat="1" x14ac:dyDescent="0.2">
      <c r="A90" s="9"/>
      <c r="B90" s="26"/>
      <c r="S90" s="29"/>
      <c r="AA90" s="29"/>
      <c r="AC90" s="29"/>
      <c r="AE90" s="29"/>
      <c r="AF90" s="29"/>
      <c r="AG90" s="29"/>
      <c r="AH90" s="29"/>
      <c r="AI90" s="29"/>
    </row>
    <row r="91" spans="1:42" s="11" customFormat="1" ht="15" x14ac:dyDescent="0.25">
      <c r="A91" s="1"/>
      <c r="B91" s="51"/>
      <c r="C91" s="29">
        <f t="shared" ref="C91:AA91" si="36">SUM(C89+C74)</f>
        <v>105845717.42129999</v>
      </c>
      <c r="D91" s="29">
        <f t="shared" si="36"/>
        <v>18532462.153093025</v>
      </c>
      <c r="E91" s="131">
        <f t="shared" si="36"/>
        <v>182116.75895642262</v>
      </c>
      <c r="F91" s="29">
        <f t="shared" si="36"/>
        <v>3037955.7352070115</v>
      </c>
      <c r="G91" s="29">
        <f t="shared" si="36"/>
        <v>3853576.584767465</v>
      </c>
      <c r="H91" s="29">
        <f t="shared" si="36"/>
        <v>414419.81200016075</v>
      </c>
      <c r="I91" s="29">
        <f t="shared" si="36"/>
        <v>9050000</v>
      </c>
      <c r="J91" s="29">
        <f t="shared" si="36"/>
        <v>19329.921551105632</v>
      </c>
      <c r="K91" s="29">
        <f t="shared" si="36"/>
        <v>1444381.26</v>
      </c>
      <c r="L91" s="29">
        <f t="shared" si="36"/>
        <v>-760606.83695999999</v>
      </c>
      <c r="M91" s="29">
        <f t="shared" si="36"/>
        <v>1033455</v>
      </c>
      <c r="N91" s="29">
        <f t="shared" si="36"/>
        <v>142652807.80991518</v>
      </c>
      <c r="O91" s="29">
        <f t="shared" si="36"/>
        <v>1254009.9424908133</v>
      </c>
      <c r="P91" s="29">
        <f t="shared" si="36"/>
        <v>0</v>
      </c>
      <c r="Q91" s="29">
        <f t="shared" si="36"/>
        <v>143906817.752406</v>
      </c>
      <c r="R91" s="29">
        <f t="shared" si="36"/>
        <v>-1883536.18</v>
      </c>
      <c r="S91" s="29">
        <f t="shared" si="36"/>
        <v>142023281.57240602</v>
      </c>
      <c r="T91" s="29">
        <f t="shared" si="36"/>
        <v>1320785</v>
      </c>
      <c r="U91" s="29">
        <f t="shared" si="36"/>
        <v>3810415.5900000003</v>
      </c>
      <c r="V91" s="29">
        <f t="shared" si="36"/>
        <v>1712112.6458333335</v>
      </c>
      <c r="W91" s="29">
        <f t="shared" si="36"/>
        <v>0</v>
      </c>
      <c r="X91" s="29">
        <f t="shared" si="36"/>
        <v>8517053.1677419357</v>
      </c>
      <c r="Y91" s="131">
        <f t="shared" si="36"/>
        <v>4110999.4445212781</v>
      </c>
      <c r="Z91" s="29">
        <f t="shared" si="36"/>
        <v>0</v>
      </c>
      <c r="AA91" s="29">
        <f t="shared" si="36"/>
        <v>161494647.42050254</v>
      </c>
      <c r="AC91" s="29">
        <f>SUM(AC89+AC74)</f>
        <v>196952.18</v>
      </c>
      <c r="AE91" s="131"/>
      <c r="AF91" s="29">
        <f>SUM(AF89+AF74)</f>
        <v>0</v>
      </c>
      <c r="AG91" s="29">
        <f>SUM(AG89+AG74)</f>
        <v>-760606.83695999999</v>
      </c>
      <c r="AH91" s="29">
        <f>SUM(AH89+AH74)</f>
        <v>1444381.26</v>
      </c>
      <c r="AI91" s="29"/>
      <c r="AK91" s="29">
        <f>AK89+AK74</f>
        <v>152096867.64972061</v>
      </c>
      <c r="AL91" s="29">
        <f>AL89+AL74</f>
        <v>153541248.90972063</v>
      </c>
    </row>
    <row r="92" spans="1:42" s="11" customFormat="1" ht="12.75" customHeight="1" x14ac:dyDescent="0.2">
      <c r="A92" s="30" t="s">
        <v>644</v>
      </c>
      <c r="B92" s="22"/>
      <c r="S92" s="29"/>
      <c r="AA92" s="29"/>
      <c r="AL92" s="11">
        <f t="shared" ref="AL92" si="37">AK92-AH92</f>
        <v>0</v>
      </c>
    </row>
    <row r="93" spans="1:42" s="29" customFormat="1" x14ac:dyDescent="0.2">
      <c r="A93" s="1" t="s">
        <v>114</v>
      </c>
      <c r="B93" s="420">
        <v>4177</v>
      </c>
      <c r="C93" s="11">
        <v>2527026.7558500003</v>
      </c>
      <c r="D93" s="11">
        <v>564522.573710775</v>
      </c>
      <c r="E93" s="11">
        <v>10704.403185056541</v>
      </c>
      <c r="F93" s="11">
        <v>305654.39599999989</v>
      </c>
      <c r="G93" s="11">
        <v>412249.45077321393</v>
      </c>
      <c r="H93" s="11">
        <v>154050.0019478242</v>
      </c>
      <c r="I93" s="11">
        <v>150000</v>
      </c>
      <c r="J93" s="11">
        <v>0</v>
      </c>
      <c r="K93" s="29">
        <v>18438.199999999997</v>
      </c>
      <c r="L93" s="29">
        <v>-6193.2999999999911</v>
      </c>
      <c r="M93" s="11">
        <v>0</v>
      </c>
      <c r="N93" s="29">
        <f t="shared" ref="N93" si="38">SUM(C93:M93)</f>
        <v>4136452.4814668703</v>
      </c>
      <c r="O93" s="29">
        <v>0</v>
      </c>
      <c r="P93" s="29">
        <v>0</v>
      </c>
      <c r="Q93" s="29">
        <f t="shared" ref="Q93" si="39">SUM(N93:P93)</f>
        <v>4136452.4814668703</v>
      </c>
      <c r="R93" s="11">
        <v>-50636.805</v>
      </c>
      <c r="S93" s="29">
        <f t="shared" ref="S93" si="40">SUM(Q93+R93)</f>
        <v>4085815.6764668701</v>
      </c>
      <c r="T93" s="11">
        <v>17485</v>
      </c>
      <c r="U93" s="11">
        <v>826990.03500000003</v>
      </c>
      <c r="V93" s="11">
        <v>5826.5</v>
      </c>
      <c r="W93" s="11"/>
      <c r="X93" s="11">
        <v>302665</v>
      </c>
      <c r="Y93" s="11">
        <v>42131.51003830359</v>
      </c>
      <c r="Z93" s="11">
        <v>0</v>
      </c>
      <c r="AA93" s="29">
        <f t="shared" ref="AA93" si="41">SUM(S93:Z93)</f>
        <v>5280913.7215051735</v>
      </c>
      <c r="AC93" s="11">
        <f>SUMIF('ERS 2015-16'!B:B,B93,'ERS 2015-16'!AC:AC)</f>
        <v>16284.02</v>
      </c>
      <c r="AG93" s="11">
        <f t="shared" ref="AG93" si="42">L93</f>
        <v>-6193.2999999999911</v>
      </c>
      <c r="AH93" s="11">
        <f t="shared" ref="AH93" si="43">K93</f>
        <v>18438.199999999997</v>
      </c>
      <c r="AJ93" s="11"/>
      <c r="AK93" s="11">
        <f t="shared" ref="AK93" si="44">AA93-AH93-AC93-L93-X93</f>
        <v>4949719.8015051736</v>
      </c>
      <c r="AL93" s="11">
        <f t="shared" ref="AL93" si="45">AK93+AH93</f>
        <v>4968158.0015051737</v>
      </c>
      <c r="AO93" s="11"/>
      <c r="AP93" s="11"/>
    </row>
    <row r="94" spans="1:42" x14ac:dyDescent="0.2">
      <c r="AK94" s="11">
        <f t="shared" ref="AK94:AK102" si="46">AA94-AH94-AC94-L94-X94</f>
        <v>0</v>
      </c>
      <c r="AO94" s="11"/>
      <c r="AP94" s="11"/>
    </row>
    <row r="95" spans="1:42" x14ac:dyDescent="0.2">
      <c r="A95" s="55" t="s">
        <v>2</v>
      </c>
      <c r="B95" s="54">
        <v>1014</v>
      </c>
      <c r="C95" s="11">
        <v>0</v>
      </c>
      <c r="D95" s="11">
        <v>0</v>
      </c>
      <c r="E95" s="11">
        <v>0</v>
      </c>
      <c r="F95" s="11">
        <v>0</v>
      </c>
      <c r="G95" s="11">
        <v>0</v>
      </c>
      <c r="H95" s="11">
        <v>0</v>
      </c>
      <c r="I95" s="11">
        <v>0</v>
      </c>
      <c r="J95" s="11">
        <v>0</v>
      </c>
      <c r="K95" s="11">
        <f>AH95</f>
        <v>9613.5</v>
      </c>
      <c r="L95" s="11">
        <f>AG95</f>
        <v>-152.8799999999992</v>
      </c>
      <c r="M95" s="11">
        <v>0</v>
      </c>
      <c r="N95" s="29">
        <f t="shared" ref="N95:N102" si="47">SUM(C95:M95)</f>
        <v>9460.6200000000008</v>
      </c>
      <c r="O95" s="11">
        <v>0</v>
      </c>
      <c r="P95" s="11">
        <v>0</v>
      </c>
      <c r="Q95" s="29">
        <f t="shared" ref="Q95:Q102" si="48">SUM(N95:P95)</f>
        <v>9460.6200000000008</v>
      </c>
      <c r="R95" s="11">
        <v>0</v>
      </c>
      <c r="S95" s="29">
        <f t="shared" ref="S95:S102" si="49">SUM(Q95+R95)</f>
        <v>9460.6200000000008</v>
      </c>
      <c r="T95" s="11">
        <v>0</v>
      </c>
      <c r="U95" s="132">
        <v>0</v>
      </c>
      <c r="V95" s="11">
        <v>0</v>
      </c>
      <c r="X95" s="11">
        <v>0</v>
      </c>
      <c r="Y95" s="11">
        <f>267077.19240042-K95</f>
        <v>257463.69240042003</v>
      </c>
      <c r="Z95" s="11">
        <v>0</v>
      </c>
      <c r="AA95" s="29">
        <f t="shared" ref="AA95:AA101" si="50">SUM(S95:Z95)</f>
        <v>266924.31240042002</v>
      </c>
      <c r="AC95" s="11">
        <f>SUMIF('ERS 2015-16'!B:B,B95,'ERS 2015-16'!AC:AC)</f>
        <v>0</v>
      </c>
      <c r="AG95" s="11">
        <v>-152.8799999999992</v>
      </c>
      <c r="AH95" s="11">
        <v>9613.5</v>
      </c>
      <c r="AK95" s="11">
        <f t="shared" si="46"/>
        <v>257463.69240042003</v>
      </c>
      <c r="AL95" s="11">
        <f t="shared" ref="AL95:AL102" si="51">AK95+AH95</f>
        <v>267077.19240042003</v>
      </c>
      <c r="AO95" s="11"/>
      <c r="AP95" s="11"/>
    </row>
    <row r="96" spans="1:42" x14ac:dyDescent="0.2">
      <c r="A96" s="55" t="s">
        <v>3</v>
      </c>
      <c r="B96" s="54">
        <v>1017</v>
      </c>
      <c r="C96" s="11">
        <v>0</v>
      </c>
      <c r="D96" s="11">
        <v>0</v>
      </c>
      <c r="E96" s="11">
        <v>0</v>
      </c>
      <c r="F96" s="11">
        <v>0</v>
      </c>
      <c r="G96" s="11">
        <v>0</v>
      </c>
      <c r="H96" s="11">
        <v>0</v>
      </c>
      <c r="I96" s="11">
        <v>0</v>
      </c>
      <c r="J96" s="11">
        <v>0</v>
      </c>
      <c r="K96" s="11">
        <f t="shared" ref="K96:K102" si="52">AH96</f>
        <v>9860</v>
      </c>
      <c r="L96" s="11">
        <f t="shared" ref="L96:L102" si="53">AG96</f>
        <v>-3495.38</v>
      </c>
      <c r="M96" s="11">
        <v>0</v>
      </c>
      <c r="N96" s="29">
        <f t="shared" si="47"/>
        <v>6364.62</v>
      </c>
      <c r="O96" s="11">
        <v>0</v>
      </c>
      <c r="P96" s="11">
        <v>0</v>
      </c>
      <c r="Q96" s="29">
        <f t="shared" si="48"/>
        <v>6364.62</v>
      </c>
      <c r="R96" s="11">
        <v>0</v>
      </c>
      <c r="S96" s="29">
        <f t="shared" si="49"/>
        <v>6364.62</v>
      </c>
      <c r="T96" s="11">
        <v>0</v>
      </c>
      <c r="U96" s="132">
        <v>0</v>
      </c>
      <c r="V96" s="11">
        <v>0</v>
      </c>
      <c r="X96" s="11">
        <v>0</v>
      </c>
      <c r="Y96" s="11">
        <v>183488.89980054222</v>
      </c>
      <c r="Z96" s="11">
        <v>0</v>
      </c>
      <c r="AA96" s="29">
        <f t="shared" si="50"/>
        <v>189853.51980054221</v>
      </c>
      <c r="AC96" s="11">
        <f>SUMIF('ERS 2015-16'!B:B,B96,'ERS 2015-16'!AC:AC)</f>
        <v>0</v>
      </c>
      <c r="AG96" s="11">
        <v>-3495.38</v>
      </c>
      <c r="AH96" s="11">
        <v>9860</v>
      </c>
      <c r="AK96" s="11">
        <f t="shared" si="46"/>
        <v>183488.89980054222</v>
      </c>
      <c r="AL96" s="11">
        <f t="shared" si="51"/>
        <v>193348.89980054222</v>
      </c>
      <c r="AO96" s="11"/>
      <c r="AP96" s="11"/>
    </row>
    <row r="97" spans="1:42" x14ac:dyDescent="0.2">
      <c r="A97" s="55" t="s">
        <v>4</v>
      </c>
      <c r="B97" s="54">
        <v>1006</v>
      </c>
      <c r="C97" s="11">
        <v>0</v>
      </c>
      <c r="D97" s="11">
        <v>0</v>
      </c>
      <c r="E97" s="11">
        <v>0</v>
      </c>
      <c r="F97" s="11">
        <v>0</v>
      </c>
      <c r="G97" s="11">
        <v>0</v>
      </c>
      <c r="H97" s="11">
        <v>0</v>
      </c>
      <c r="I97" s="11">
        <v>0</v>
      </c>
      <c r="J97" s="11">
        <v>0</v>
      </c>
      <c r="K97" s="11">
        <f t="shared" si="52"/>
        <v>11339</v>
      </c>
      <c r="L97" s="11">
        <f t="shared" si="53"/>
        <v>-5080.5199999999995</v>
      </c>
      <c r="M97" s="11">
        <v>0</v>
      </c>
      <c r="N97" s="29">
        <f t="shared" si="47"/>
        <v>6258.4800000000005</v>
      </c>
      <c r="O97" s="11">
        <v>0</v>
      </c>
      <c r="P97" s="11">
        <v>0</v>
      </c>
      <c r="Q97" s="29">
        <f t="shared" si="48"/>
        <v>6258.4800000000005</v>
      </c>
      <c r="R97" s="11">
        <v>0</v>
      </c>
      <c r="S97" s="29">
        <f t="shared" si="49"/>
        <v>6258.4800000000005</v>
      </c>
      <c r="T97" s="11">
        <v>0</v>
      </c>
      <c r="U97" s="132">
        <v>142055</v>
      </c>
      <c r="V97" s="11">
        <v>900.97499999999991</v>
      </c>
      <c r="X97" s="11">
        <v>0</v>
      </c>
      <c r="Y97" s="11">
        <v>280169.0176367946</v>
      </c>
      <c r="Z97" s="11">
        <v>0</v>
      </c>
      <c r="AA97" s="29">
        <f t="shared" si="50"/>
        <v>429383.47263679461</v>
      </c>
      <c r="AC97" s="11">
        <f>SUMIF('ERS 2015-16'!B:B,B97,'ERS 2015-16'!AC:AC)</f>
        <v>0</v>
      </c>
      <c r="AG97" s="11">
        <v>-5080.5199999999995</v>
      </c>
      <c r="AH97" s="11">
        <v>11339</v>
      </c>
      <c r="AK97" s="11">
        <f t="shared" si="46"/>
        <v>423124.99263679463</v>
      </c>
      <c r="AL97" s="11">
        <f t="shared" si="51"/>
        <v>434463.99263679463</v>
      </c>
      <c r="AO97" s="11"/>
      <c r="AP97" s="11"/>
    </row>
    <row r="98" spans="1:42" x14ac:dyDescent="0.2">
      <c r="A98" s="55" t="s">
        <v>5</v>
      </c>
      <c r="B98" s="54">
        <v>1008</v>
      </c>
      <c r="C98" s="11">
        <v>0</v>
      </c>
      <c r="D98" s="11">
        <v>0</v>
      </c>
      <c r="E98" s="11">
        <v>0</v>
      </c>
      <c r="F98" s="11">
        <v>0</v>
      </c>
      <c r="G98" s="11">
        <v>0</v>
      </c>
      <c r="H98" s="11">
        <v>0</v>
      </c>
      <c r="I98" s="11">
        <v>0</v>
      </c>
      <c r="J98" s="11">
        <v>0</v>
      </c>
      <c r="K98" s="11">
        <f t="shared" si="52"/>
        <v>4683.5</v>
      </c>
      <c r="L98" s="11">
        <f t="shared" si="53"/>
        <v>-2310.6799999999994</v>
      </c>
      <c r="M98" s="11">
        <v>0</v>
      </c>
      <c r="N98" s="29">
        <f t="shared" ref="N98" si="54">SUM(C98:M98)</f>
        <v>2372.8200000000006</v>
      </c>
      <c r="O98" s="11">
        <v>0</v>
      </c>
      <c r="P98" s="11">
        <v>0</v>
      </c>
      <c r="Q98" s="29">
        <f t="shared" si="48"/>
        <v>2372.8200000000006</v>
      </c>
      <c r="R98" s="11">
        <v>0</v>
      </c>
      <c r="S98" s="29">
        <f t="shared" si="49"/>
        <v>2372.8200000000006</v>
      </c>
      <c r="T98" s="11">
        <v>0</v>
      </c>
      <c r="U98" s="132">
        <v>0</v>
      </c>
      <c r="V98" s="11">
        <v>24101.081249999999</v>
      </c>
      <c r="X98" s="11">
        <v>0</v>
      </c>
      <c r="Y98" s="11">
        <v>382797.38135375228</v>
      </c>
      <c r="Z98" s="11">
        <v>0</v>
      </c>
      <c r="AA98" s="29">
        <f t="shared" si="50"/>
        <v>409271.28260375228</v>
      </c>
      <c r="AC98" s="11">
        <f>SUMIF('ERS 2015-16'!B:B,B98,'ERS 2015-16'!AC:AC)</f>
        <v>0</v>
      </c>
      <c r="AG98" s="11">
        <v>-2310.6799999999994</v>
      </c>
      <c r="AH98" s="11">
        <v>4683.5</v>
      </c>
      <c r="AK98" s="11">
        <f t="shared" si="46"/>
        <v>406898.46260375227</v>
      </c>
      <c r="AL98" s="11">
        <f t="shared" si="51"/>
        <v>411581.96260375227</v>
      </c>
      <c r="AO98" s="11"/>
      <c r="AP98" s="11"/>
    </row>
    <row r="99" spans="1:42" x14ac:dyDescent="0.2">
      <c r="A99" s="55" t="s">
        <v>6</v>
      </c>
      <c r="B99" s="54">
        <v>1005</v>
      </c>
      <c r="C99" s="11">
        <v>0</v>
      </c>
      <c r="D99" s="11">
        <v>0</v>
      </c>
      <c r="E99" s="11">
        <v>0</v>
      </c>
      <c r="F99" s="11">
        <v>0</v>
      </c>
      <c r="G99" s="11">
        <v>0</v>
      </c>
      <c r="H99" s="11">
        <v>0</v>
      </c>
      <c r="I99" s="11">
        <v>0</v>
      </c>
      <c r="J99" s="11">
        <v>0</v>
      </c>
      <c r="K99" s="11">
        <f t="shared" si="52"/>
        <v>14543.5</v>
      </c>
      <c r="L99" s="11">
        <f t="shared" si="53"/>
        <v>-770.40999999999985</v>
      </c>
      <c r="M99" s="11">
        <v>0</v>
      </c>
      <c r="N99" s="29">
        <f t="shared" si="47"/>
        <v>13773.09</v>
      </c>
      <c r="O99" s="11">
        <v>0</v>
      </c>
      <c r="P99" s="11">
        <v>0</v>
      </c>
      <c r="Q99" s="29">
        <f t="shared" si="48"/>
        <v>13773.09</v>
      </c>
      <c r="R99" s="11">
        <v>0</v>
      </c>
      <c r="S99" s="29">
        <f t="shared" si="49"/>
        <v>13773.09</v>
      </c>
      <c r="T99" s="11">
        <v>0</v>
      </c>
      <c r="U99" s="132">
        <v>110000</v>
      </c>
      <c r="V99" s="11">
        <v>900.97499999999991</v>
      </c>
      <c r="X99" s="11">
        <v>0</v>
      </c>
      <c r="Y99" s="11">
        <v>434337.54522393423</v>
      </c>
      <c r="Z99" s="11">
        <v>0</v>
      </c>
      <c r="AA99" s="29">
        <f t="shared" si="50"/>
        <v>559011.61022393429</v>
      </c>
      <c r="AC99" s="11">
        <f>SUMIF('ERS 2015-16'!B:B,B99,'ERS 2015-16'!AC:AC)</f>
        <v>0</v>
      </c>
      <c r="AG99" s="11">
        <v>-770.40999999999985</v>
      </c>
      <c r="AH99" s="11">
        <v>14543.5</v>
      </c>
      <c r="AK99" s="11">
        <f t="shared" si="46"/>
        <v>545238.52022393432</v>
      </c>
      <c r="AL99" s="11">
        <f t="shared" si="51"/>
        <v>559782.02022393432</v>
      </c>
      <c r="AO99" s="11"/>
      <c r="AP99" s="11"/>
    </row>
    <row r="100" spans="1:42" x14ac:dyDescent="0.2">
      <c r="A100" s="55" t="s">
        <v>7</v>
      </c>
      <c r="B100" s="54">
        <v>1010</v>
      </c>
      <c r="C100" s="11">
        <v>0</v>
      </c>
      <c r="D100" s="11">
        <v>0</v>
      </c>
      <c r="E100" s="11">
        <v>0</v>
      </c>
      <c r="F100" s="11">
        <v>0</v>
      </c>
      <c r="G100" s="11">
        <v>0</v>
      </c>
      <c r="H100" s="11">
        <v>0</v>
      </c>
      <c r="I100" s="11">
        <v>0</v>
      </c>
      <c r="J100" s="11">
        <v>0</v>
      </c>
      <c r="K100" s="11">
        <f t="shared" si="52"/>
        <v>4338</v>
      </c>
      <c r="L100" s="11">
        <f t="shared" si="53"/>
        <v>-2020.6900000000005</v>
      </c>
      <c r="M100" s="11">
        <v>0</v>
      </c>
      <c r="N100" s="29">
        <f t="shared" si="47"/>
        <v>2317.3099999999995</v>
      </c>
      <c r="O100" s="11">
        <v>0</v>
      </c>
      <c r="P100" s="11">
        <v>0</v>
      </c>
      <c r="Q100" s="29">
        <f t="shared" si="48"/>
        <v>2317.3099999999995</v>
      </c>
      <c r="R100" s="11">
        <v>0</v>
      </c>
      <c r="S100" s="29">
        <f t="shared" si="49"/>
        <v>2317.3099999999995</v>
      </c>
      <c r="T100" s="11">
        <v>0</v>
      </c>
      <c r="U100" s="132">
        <v>0</v>
      </c>
      <c r="V100" s="11">
        <v>9760.5625</v>
      </c>
      <c r="X100" s="11">
        <v>0</v>
      </c>
      <c r="Y100" s="11">
        <v>265007.90433499718</v>
      </c>
      <c r="Z100" s="11">
        <v>0</v>
      </c>
      <c r="AA100" s="29">
        <f t="shared" si="50"/>
        <v>277085.77683499717</v>
      </c>
      <c r="AC100" s="11">
        <f>SUMIF('ERS 2015-16'!B:B,B100,'ERS 2015-16'!AC:AC)</f>
        <v>0</v>
      </c>
      <c r="AG100" s="11">
        <v>-2020.6900000000005</v>
      </c>
      <c r="AH100" s="11">
        <v>4338</v>
      </c>
      <c r="AK100" s="11">
        <f t="shared" si="46"/>
        <v>274768.46683499718</v>
      </c>
      <c r="AL100" s="11">
        <f t="shared" si="51"/>
        <v>279106.46683499718</v>
      </c>
      <c r="AO100" s="11"/>
      <c r="AP100" s="11"/>
    </row>
    <row r="101" spans="1:42" x14ac:dyDescent="0.2">
      <c r="A101" s="55" t="s">
        <v>8</v>
      </c>
      <c r="B101" s="54">
        <v>1009</v>
      </c>
      <c r="C101" s="11">
        <v>0</v>
      </c>
      <c r="D101" s="11">
        <v>0</v>
      </c>
      <c r="E101" s="11">
        <v>0</v>
      </c>
      <c r="F101" s="11">
        <v>0</v>
      </c>
      <c r="G101" s="11">
        <v>0</v>
      </c>
      <c r="H101" s="11">
        <v>0</v>
      </c>
      <c r="I101" s="11">
        <v>0</v>
      </c>
      <c r="J101" s="11">
        <v>0</v>
      </c>
      <c r="K101" s="11">
        <f t="shared" si="52"/>
        <v>7953</v>
      </c>
      <c r="L101" s="11">
        <f t="shared" si="53"/>
        <v>-3486.87</v>
      </c>
      <c r="M101" s="11">
        <v>0</v>
      </c>
      <c r="N101" s="29">
        <f t="shared" si="47"/>
        <v>4466.13</v>
      </c>
      <c r="O101" s="11">
        <v>0</v>
      </c>
      <c r="P101" s="11">
        <v>0</v>
      </c>
      <c r="Q101" s="29">
        <f t="shared" si="48"/>
        <v>4466.13</v>
      </c>
      <c r="R101" s="11">
        <v>0</v>
      </c>
      <c r="S101" s="29">
        <f t="shared" si="49"/>
        <v>4466.13</v>
      </c>
      <c r="T101" s="11">
        <v>0</v>
      </c>
      <c r="U101" s="132">
        <v>0</v>
      </c>
      <c r="V101" s="11">
        <v>9760.5625</v>
      </c>
      <c r="X101" s="11">
        <v>0</v>
      </c>
      <c r="Y101" s="1073">
        <f>396734-9761-7953</f>
        <v>379020</v>
      </c>
      <c r="Z101" s="11">
        <v>0</v>
      </c>
      <c r="AA101" s="29">
        <f t="shared" si="50"/>
        <v>393246.6925</v>
      </c>
      <c r="AC101" s="11">
        <f>SUMIF('ERS 2015-16'!B:B,B101,'ERS 2015-16'!AC:AC)</f>
        <v>0</v>
      </c>
      <c r="AG101" s="11">
        <v>-3486.87</v>
      </c>
      <c r="AH101" s="11">
        <v>7953</v>
      </c>
      <c r="AK101" s="11">
        <f t="shared" si="46"/>
        <v>388780.5625</v>
      </c>
      <c r="AL101" s="11">
        <f t="shared" si="51"/>
        <v>396733.5625</v>
      </c>
      <c r="AO101" s="11"/>
      <c r="AP101" s="11"/>
    </row>
    <row r="102" spans="1:42" x14ac:dyDescent="0.2">
      <c r="A102" s="55" t="s">
        <v>9</v>
      </c>
      <c r="B102" s="54">
        <v>1015</v>
      </c>
      <c r="C102" s="11">
        <v>0</v>
      </c>
      <c r="D102" s="11">
        <v>0</v>
      </c>
      <c r="E102" s="11">
        <v>0</v>
      </c>
      <c r="F102" s="11">
        <v>0</v>
      </c>
      <c r="G102" s="11">
        <v>0</v>
      </c>
      <c r="H102" s="11">
        <v>0</v>
      </c>
      <c r="I102" s="11">
        <v>0</v>
      </c>
      <c r="J102" s="11">
        <v>0</v>
      </c>
      <c r="K102" s="11">
        <f t="shared" si="52"/>
        <v>5784</v>
      </c>
      <c r="L102" s="11">
        <f t="shared" si="53"/>
        <v>-2904.5099999999998</v>
      </c>
      <c r="M102" s="11">
        <v>0</v>
      </c>
      <c r="N102" s="29">
        <f t="shared" si="47"/>
        <v>2879.4900000000002</v>
      </c>
      <c r="O102" s="11">
        <v>0</v>
      </c>
      <c r="P102" s="11">
        <v>0</v>
      </c>
      <c r="Q102" s="29">
        <f t="shared" si="48"/>
        <v>2879.4900000000002</v>
      </c>
      <c r="R102" s="11">
        <v>0</v>
      </c>
      <c r="S102" s="29">
        <f t="shared" si="49"/>
        <v>2879.4900000000002</v>
      </c>
      <c r="T102" s="11">
        <v>0</v>
      </c>
      <c r="U102" s="132">
        <v>0</v>
      </c>
      <c r="V102" s="11">
        <v>22824.7</v>
      </c>
      <c r="X102" s="11">
        <v>0</v>
      </c>
      <c r="Y102" s="1073">
        <f>332744-22825</f>
        <v>309919</v>
      </c>
      <c r="Z102" s="11">
        <v>0</v>
      </c>
      <c r="AA102" s="29">
        <f>SUM(S102:Z102)</f>
        <v>335623.19</v>
      </c>
      <c r="AC102" s="11">
        <f>SUMIF('ERS 2015-16'!B:B,B102,'ERS 2015-16'!AC:AC)</f>
        <v>0</v>
      </c>
      <c r="AG102" s="11">
        <v>-2904.5099999999998</v>
      </c>
      <c r="AH102" s="11">
        <v>5784</v>
      </c>
      <c r="AK102" s="11">
        <f t="shared" si="46"/>
        <v>332743.7</v>
      </c>
      <c r="AL102" s="11">
        <f t="shared" si="51"/>
        <v>338527.7</v>
      </c>
      <c r="AO102" s="11"/>
      <c r="AP102" s="11"/>
    </row>
    <row r="103" spans="1:42" x14ac:dyDescent="0.2">
      <c r="S103" s="11"/>
      <c r="AA103" s="11"/>
      <c r="AO103" s="11"/>
      <c r="AP103" s="11"/>
    </row>
    <row r="104" spans="1:42" ht="15" x14ac:dyDescent="0.25">
      <c r="A104" s="58" t="s">
        <v>450</v>
      </c>
      <c r="B104" s="51"/>
      <c r="C104" s="29">
        <f t="shared" ref="C104:Z104" si="55">SUM(C95:C103)</f>
        <v>0</v>
      </c>
      <c r="D104" s="29">
        <f t="shared" si="55"/>
        <v>0</v>
      </c>
      <c r="E104" s="29">
        <f t="shared" si="55"/>
        <v>0</v>
      </c>
      <c r="F104" s="29">
        <f t="shared" si="55"/>
        <v>0</v>
      </c>
      <c r="G104" s="29">
        <f t="shared" si="55"/>
        <v>0</v>
      </c>
      <c r="H104" s="29">
        <f t="shared" si="55"/>
        <v>0</v>
      </c>
      <c r="I104" s="29">
        <f t="shared" si="55"/>
        <v>0</v>
      </c>
      <c r="J104" s="29">
        <f t="shared" si="55"/>
        <v>0</v>
      </c>
      <c r="K104" s="29">
        <f t="shared" si="55"/>
        <v>68114.5</v>
      </c>
      <c r="L104" s="29">
        <f t="shared" si="55"/>
        <v>-20221.939999999999</v>
      </c>
      <c r="M104" s="29">
        <f t="shared" ref="M104" si="56">SUM(M95:M103)</f>
        <v>0</v>
      </c>
      <c r="N104" s="29">
        <f t="shared" si="55"/>
        <v>47892.56</v>
      </c>
      <c r="O104" s="29">
        <f t="shared" si="55"/>
        <v>0</v>
      </c>
      <c r="P104" s="29">
        <f t="shared" si="55"/>
        <v>0</v>
      </c>
      <c r="Q104" s="29">
        <f t="shared" si="55"/>
        <v>47892.56</v>
      </c>
      <c r="R104" s="29">
        <f t="shared" si="55"/>
        <v>0</v>
      </c>
      <c r="S104" s="29">
        <f t="shared" si="55"/>
        <v>47892.56</v>
      </c>
      <c r="T104" s="29">
        <f t="shared" si="55"/>
        <v>0</v>
      </c>
      <c r="U104" s="29">
        <f t="shared" si="55"/>
        <v>252055</v>
      </c>
      <c r="V104" s="29">
        <f t="shared" si="55"/>
        <v>68248.856249999997</v>
      </c>
      <c r="W104" s="29">
        <f t="shared" si="55"/>
        <v>0</v>
      </c>
      <c r="X104" s="29">
        <f t="shared" si="55"/>
        <v>0</v>
      </c>
      <c r="Y104" s="29">
        <f t="shared" si="55"/>
        <v>2492203.4407504406</v>
      </c>
      <c r="Z104" s="29">
        <f t="shared" si="55"/>
        <v>0</v>
      </c>
      <c r="AA104" s="29">
        <f>SUM(S104:Z104)</f>
        <v>2860399.8570004404</v>
      </c>
      <c r="AB104" s="29"/>
      <c r="AC104" s="29">
        <f>SUM(AC95:AC103)</f>
        <v>0</v>
      </c>
      <c r="AD104" s="29"/>
      <c r="AF104" s="29"/>
      <c r="AG104" s="29">
        <f>SUM(AG95:AG103)</f>
        <v>-20221.939999999999</v>
      </c>
      <c r="AH104" s="29">
        <f>SUM(AH95:AH103)</f>
        <v>68114.5</v>
      </c>
      <c r="AI104" s="29"/>
      <c r="AK104" s="29">
        <f>SUM(AK95:AK103)</f>
        <v>2812507.2970004408</v>
      </c>
      <c r="AL104" s="29">
        <f>SUM(AL95:AL103)</f>
        <v>2880621.7970004408</v>
      </c>
      <c r="AO104" s="11"/>
      <c r="AP104" s="11"/>
    </row>
    <row r="105" spans="1:42" x14ac:dyDescent="0.2">
      <c r="AO105" s="11"/>
      <c r="AP105" s="11"/>
    </row>
    <row r="106" spans="1:42" x14ac:dyDescent="0.2">
      <c r="AO106" s="11"/>
      <c r="AP106" s="11"/>
    </row>
    <row r="107" spans="1:42" x14ac:dyDescent="0.2">
      <c r="A107" s="22"/>
      <c r="AO107" s="11"/>
      <c r="AP107" s="11"/>
    </row>
    <row r="108" spans="1:42" x14ac:dyDescent="0.2">
      <c r="A108" s="22"/>
      <c r="K108" s="11">
        <f>K95+L95</f>
        <v>9460.6200000000008</v>
      </c>
      <c r="AA108" s="11">
        <f>Y108</f>
        <v>0</v>
      </c>
      <c r="AO108" s="11"/>
      <c r="AP108" s="11"/>
    </row>
    <row r="109" spans="1:42" x14ac:dyDescent="0.2">
      <c r="K109" s="11">
        <f t="shared" ref="K109:K115" si="57">K96+L96</f>
        <v>6364.62</v>
      </c>
      <c r="N109" s="29"/>
      <c r="Q109" s="29"/>
      <c r="AO109" s="11"/>
      <c r="AP109" s="11"/>
    </row>
    <row r="110" spans="1:42" x14ac:dyDescent="0.2">
      <c r="A110" s="60"/>
      <c r="K110" s="11">
        <f t="shared" si="57"/>
        <v>6258.4800000000005</v>
      </c>
      <c r="N110" s="29"/>
      <c r="Q110" s="29"/>
      <c r="AO110" s="11"/>
      <c r="AP110" s="11"/>
    </row>
    <row r="111" spans="1:42" x14ac:dyDescent="0.2">
      <c r="K111" s="11">
        <f t="shared" si="57"/>
        <v>2372.8200000000006</v>
      </c>
      <c r="AO111" s="11"/>
      <c r="AP111" s="11"/>
    </row>
    <row r="112" spans="1:42" x14ac:dyDescent="0.2">
      <c r="A112" s="30" t="s">
        <v>694</v>
      </c>
      <c r="K112" s="11">
        <f t="shared" si="57"/>
        <v>13773.09</v>
      </c>
      <c r="Y112" s="463">
        <f>AK390</f>
        <v>4702378.4581659148</v>
      </c>
      <c r="AA112" s="463">
        <f>AK390</f>
        <v>4702378.4581659148</v>
      </c>
      <c r="AK112" s="11">
        <f>AK390</f>
        <v>4702378.4581659148</v>
      </c>
      <c r="AL112" s="11">
        <f>AA112</f>
        <v>4702378.4581659148</v>
      </c>
      <c r="AO112" s="11"/>
      <c r="AP112" s="11"/>
    </row>
    <row r="113" spans="1:42" x14ac:dyDescent="0.2">
      <c r="A113" s="30" t="s">
        <v>695</v>
      </c>
      <c r="K113" s="11">
        <f t="shared" si="57"/>
        <v>2317.3099999999995</v>
      </c>
      <c r="Y113" s="463">
        <v>80000</v>
      </c>
      <c r="AA113" s="463">
        <v>80000</v>
      </c>
      <c r="AK113" s="11">
        <f>AA113</f>
        <v>80000</v>
      </c>
      <c r="AL113" s="11">
        <f>AA113</f>
        <v>80000</v>
      </c>
      <c r="AO113" s="11"/>
      <c r="AP113" s="11"/>
    </row>
    <row r="114" spans="1:42" x14ac:dyDescent="0.2">
      <c r="K114" s="11">
        <f>K101+L101</f>
        <v>4466.13</v>
      </c>
      <c r="Y114" s="463"/>
      <c r="AO114" s="11"/>
      <c r="AP114" s="11"/>
    </row>
    <row r="115" spans="1:42" x14ac:dyDescent="0.2">
      <c r="K115" s="11">
        <f t="shared" si="57"/>
        <v>2879.4900000000002</v>
      </c>
      <c r="AO115" s="11"/>
      <c r="AP115" s="11"/>
    </row>
    <row r="116" spans="1:42" x14ac:dyDescent="0.2">
      <c r="A116" s="56"/>
      <c r="B116" s="56"/>
      <c r="AO116" s="11"/>
      <c r="AP116" s="11"/>
    </row>
    <row r="117" spans="1:42" x14ac:dyDescent="0.2">
      <c r="A117" s="1" t="s">
        <v>116</v>
      </c>
      <c r="B117" s="1" t="s">
        <v>117</v>
      </c>
      <c r="C117" s="132">
        <f>C104+C91+C93</f>
        <v>108372744.17715</v>
      </c>
      <c r="D117" s="132">
        <f>D104+D91+D93</f>
        <v>19096984.726803802</v>
      </c>
      <c r="E117" s="132">
        <f t="shared" ref="E117:AH117" si="58">E104+E91+E93</f>
        <v>192821.16214147917</v>
      </c>
      <c r="F117" s="132">
        <f t="shared" si="58"/>
        <v>3343610.1312070112</v>
      </c>
      <c r="G117" s="132">
        <f t="shared" si="58"/>
        <v>4265826.0355406785</v>
      </c>
      <c r="H117" s="132">
        <f t="shared" si="58"/>
        <v>568469.81394798495</v>
      </c>
      <c r="I117" s="132">
        <f t="shared" si="58"/>
        <v>9200000</v>
      </c>
      <c r="J117" s="132">
        <f t="shared" si="58"/>
        <v>19329.921551105632</v>
      </c>
      <c r="K117" s="132">
        <f t="shared" si="58"/>
        <v>1530933.96</v>
      </c>
      <c r="L117" s="132">
        <f t="shared" si="58"/>
        <v>-787022.07695999998</v>
      </c>
      <c r="M117" s="132">
        <f t="shared" si="58"/>
        <v>1033455</v>
      </c>
      <c r="N117" s="132">
        <f t="shared" si="58"/>
        <v>146837152.85138205</v>
      </c>
      <c r="O117" s="132">
        <f t="shared" si="58"/>
        <v>1254009.9424908133</v>
      </c>
      <c r="P117" s="132">
        <f t="shared" si="58"/>
        <v>0</v>
      </c>
      <c r="Q117" s="132">
        <f t="shared" si="58"/>
        <v>148091162.79387286</v>
      </c>
      <c r="R117" s="132">
        <f t="shared" si="58"/>
        <v>-1934172.9849999999</v>
      </c>
      <c r="S117" s="132">
        <f t="shared" si="58"/>
        <v>146156989.80887291</v>
      </c>
      <c r="T117" s="132">
        <f t="shared" si="58"/>
        <v>1338270</v>
      </c>
      <c r="U117" s="132">
        <f t="shared" si="58"/>
        <v>4889460.625</v>
      </c>
      <c r="V117" s="132">
        <f t="shared" si="58"/>
        <v>1786188.0020833334</v>
      </c>
      <c r="W117" s="132">
        <f t="shared" si="58"/>
        <v>0</v>
      </c>
      <c r="X117" s="132">
        <f t="shared" si="58"/>
        <v>8819718.1677419357</v>
      </c>
      <c r="Y117" s="132">
        <f>Y104+Y91+Y93+Y112+Y113</f>
        <v>11427712.853475936</v>
      </c>
      <c r="Z117" s="132">
        <f t="shared" si="58"/>
        <v>0</v>
      </c>
      <c r="AA117" s="132">
        <f>AA104+AA91+AA93+AA112+AA113</f>
        <v>174418339.45717406</v>
      </c>
      <c r="AB117" s="132">
        <f t="shared" si="58"/>
        <v>0</v>
      </c>
      <c r="AC117" s="132">
        <f t="shared" si="58"/>
        <v>213236.19999999998</v>
      </c>
      <c r="AD117" s="132">
        <f t="shared" si="58"/>
        <v>0</v>
      </c>
      <c r="AE117" s="132">
        <f t="shared" si="58"/>
        <v>0</v>
      </c>
      <c r="AF117" s="132">
        <f t="shared" si="58"/>
        <v>0</v>
      </c>
      <c r="AG117" s="132">
        <f t="shared" si="58"/>
        <v>-787022.07695999998</v>
      </c>
      <c r="AH117" s="132">
        <f t="shared" si="58"/>
        <v>1530933.96</v>
      </c>
      <c r="AK117" s="132">
        <f>AK104+AK91+AK93+AK112+AK113</f>
        <v>164641473.20639214</v>
      </c>
      <c r="AL117" s="132">
        <f>AL104+AL91+AL93+AL112+AL113</f>
        <v>166172407.16639215</v>
      </c>
      <c r="AO117" s="11"/>
      <c r="AP117" s="11"/>
    </row>
    <row r="118" spans="1:42" x14ac:dyDescent="0.2">
      <c r="A118" s="63" t="s">
        <v>516</v>
      </c>
      <c r="B118" s="94">
        <v>12345</v>
      </c>
      <c r="AA118" s="29">
        <f ca="1">'2015-16 FORMULA'!Z151</f>
        <v>174418339.89717412</v>
      </c>
      <c r="AO118" s="11"/>
      <c r="AP118" s="11"/>
    </row>
    <row r="119" spans="1:42" x14ac:dyDescent="0.2">
      <c r="A119" s="56">
        <v>1</v>
      </c>
      <c r="B119" s="1245"/>
      <c r="C119" s="56">
        <v>3</v>
      </c>
      <c r="D119" s="56">
        <v>4</v>
      </c>
      <c r="E119" s="56">
        <v>5</v>
      </c>
      <c r="F119" s="56">
        <v>6</v>
      </c>
      <c r="G119" s="56">
        <v>7</v>
      </c>
      <c r="H119" s="56">
        <v>8</v>
      </c>
      <c r="I119" s="56">
        <v>9</v>
      </c>
      <c r="J119" s="56">
        <v>10</v>
      </c>
      <c r="K119" s="56">
        <v>11</v>
      </c>
      <c r="L119" s="56">
        <v>12</v>
      </c>
      <c r="M119" s="56">
        <v>12</v>
      </c>
      <c r="N119" s="56">
        <v>14</v>
      </c>
      <c r="O119" s="56">
        <v>15</v>
      </c>
      <c r="P119" s="56">
        <v>16</v>
      </c>
      <c r="Q119" s="56">
        <v>17</v>
      </c>
      <c r="R119" s="56">
        <v>18</v>
      </c>
      <c r="S119" s="56">
        <v>19</v>
      </c>
      <c r="T119" s="56">
        <v>20</v>
      </c>
      <c r="U119" s="56">
        <v>21</v>
      </c>
      <c r="V119" s="56">
        <v>22</v>
      </c>
      <c r="W119" s="56">
        <v>23</v>
      </c>
      <c r="X119" s="56">
        <v>24</v>
      </c>
      <c r="Y119" s="56">
        <v>25</v>
      </c>
      <c r="Z119" s="56">
        <v>26</v>
      </c>
      <c r="AA119" s="56">
        <v>27</v>
      </c>
      <c r="AB119" s="56">
        <v>28</v>
      </c>
      <c r="AC119" s="56">
        <v>29</v>
      </c>
      <c r="AD119" s="56">
        <v>30</v>
      </c>
      <c r="AE119" s="56">
        <v>31</v>
      </c>
      <c r="AF119" s="56">
        <v>32</v>
      </c>
      <c r="AG119" s="56">
        <v>33</v>
      </c>
      <c r="AH119" s="56">
        <v>34</v>
      </c>
      <c r="AI119" s="56">
        <v>35</v>
      </c>
      <c r="AJ119" s="56">
        <v>36</v>
      </c>
      <c r="AK119" s="56">
        <v>37</v>
      </c>
      <c r="AO119" s="11"/>
      <c r="AP119" s="11"/>
    </row>
    <row r="120" spans="1:42" x14ac:dyDescent="0.2">
      <c r="S120" s="29" t="s">
        <v>572</v>
      </c>
      <c r="U120" s="11" t="s">
        <v>147</v>
      </c>
      <c r="V120" s="11" t="s">
        <v>147</v>
      </c>
      <c r="W120" s="11" t="s">
        <v>147</v>
      </c>
      <c r="Y120" s="11" t="s">
        <v>147</v>
      </c>
      <c r="AO120" s="11"/>
      <c r="AP120" s="11"/>
    </row>
    <row r="121" spans="1:42" x14ac:dyDescent="0.2">
      <c r="B121" s="22" t="s">
        <v>517</v>
      </c>
      <c r="S121" s="131">
        <f>S117-K117-L117</f>
        <v>145413077.9258329</v>
      </c>
      <c r="U121" s="132">
        <f>U104</f>
        <v>252055</v>
      </c>
      <c r="V121" s="132">
        <v>68249</v>
      </c>
      <c r="W121" s="132">
        <f>AF104</f>
        <v>0</v>
      </c>
      <c r="Y121" s="132">
        <f>Y117</f>
        <v>11427712.853475936</v>
      </c>
      <c r="Z121" s="460">
        <f>Y121+U121+V121+W121-Y112-Y113</f>
        <v>6965638.395310021</v>
      </c>
      <c r="AA121" s="461" t="s">
        <v>655</v>
      </c>
      <c r="AB121" s="462"/>
      <c r="AO121" s="11"/>
      <c r="AP121" s="11"/>
    </row>
    <row r="122" spans="1:42" x14ac:dyDescent="0.2">
      <c r="Q122" s="11" t="s">
        <v>517</v>
      </c>
      <c r="R122" s="11" t="s">
        <v>929</v>
      </c>
      <c r="S122" s="131">
        <f>U121+V121+Y121</f>
        <v>11748016.853475936</v>
      </c>
      <c r="T122" s="11" t="s">
        <v>571</v>
      </c>
      <c r="U122" s="11" t="s">
        <v>571</v>
      </c>
      <c r="V122" s="11" t="s">
        <v>571</v>
      </c>
      <c r="W122" s="11" t="s">
        <v>571</v>
      </c>
      <c r="X122" s="11" t="s">
        <v>571</v>
      </c>
      <c r="Z122" s="463">
        <f>Y112</f>
        <v>4702378.4581659148</v>
      </c>
      <c r="AA122" s="464" t="s">
        <v>694</v>
      </c>
      <c r="AB122" s="465"/>
      <c r="AO122" s="11"/>
      <c r="AP122" s="11"/>
    </row>
    <row r="123" spans="1:42" x14ac:dyDescent="0.2">
      <c r="R123" s="11" t="s">
        <v>573</v>
      </c>
      <c r="S123" s="131">
        <f>T123</f>
        <v>1338270</v>
      </c>
      <c r="T123" s="132">
        <f>T117</f>
        <v>1338270</v>
      </c>
      <c r="U123" s="132">
        <f>U117-U121</f>
        <v>4637405.625</v>
      </c>
      <c r="V123" s="132">
        <f>V117-V121</f>
        <v>1717939.0020833334</v>
      </c>
      <c r="W123" s="132">
        <f>W117-W121</f>
        <v>0</v>
      </c>
      <c r="X123" s="132">
        <f>X117-X121</f>
        <v>8819718.1677419357</v>
      </c>
      <c r="Z123" s="463">
        <v>80000</v>
      </c>
      <c r="AA123" s="466" t="s">
        <v>695</v>
      </c>
      <c r="AB123" s="465"/>
      <c r="AO123" s="11"/>
      <c r="AP123" s="11"/>
    </row>
    <row r="124" spans="1:42" x14ac:dyDescent="0.2">
      <c r="Q124" s="11" t="s">
        <v>578</v>
      </c>
      <c r="R124" s="11" t="s">
        <v>928</v>
      </c>
      <c r="S124" s="131">
        <f>U123-AC117</f>
        <v>4424169.4249999998</v>
      </c>
      <c r="V124" s="11">
        <v>1786188.002083333</v>
      </c>
      <c r="Z124" s="463">
        <f>Z123+Z122+Z121</f>
        <v>11748016.853475936</v>
      </c>
      <c r="AA124" s="464" t="s">
        <v>580</v>
      </c>
      <c r="AB124" s="465"/>
      <c r="AO124" s="11"/>
      <c r="AP124" s="11"/>
    </row>
    <row r="125" spans="1:42" x14ac:dyDescent="0.2">
      <c r="Q125" s="11" t="s">
        <v>578</v>
      </c>
      <c r="R125" s="11" t="s">
        <v>927</v>
      </c>
      <c r="S125" s="131">
        <f>V123</f>
        <v>1717939.0020833334</v>
      </c>
      <c r="Z125" s="467"/>
      <c r="AA125" s="468" t="s">
        <v>1368</v>
      </c>
      <c r="AB125" s="469"/>
      <c r="AO125" s="11"/>
      <c r="AP125" s="11"/>
    </row>
    <row r="126" spans="1:42" x14ac:dyDescent="0.2">
      <c r="R126" s="29" t="s">
        <v>148</v>
      </c>
      <c r="S126" s="11">
        <f>Z117</f>
        <v>0</v>
      </c>
      <c r="Z126" s="29"/>
      <c r="AA126" s="11"/>
      <c r="AO126" s="11"/>
      <c r="AP126" s="11"/>
    </row>
    <row r="127" spans="1:42" x14ac:dyDescent="0.2">
      <c r="P127" s="9"/>
      <c r="Q127" s="26"/>
      <c r="R127" s="29" t="s">
        <v>149</v>
      </c>
      <c r="S127" s="132">
        <f>SUM(S121:S126)</f>
        <v>164641473.20639217</v>
      </c>
      <c r="T127" s="11">
        <v>155471766.27932662</v>
      </c>
      <c r="U127" s="11">
        <f>T127-S127</f>
        <v>-9169706.9270655513</v>
      </c>
      <c r="Z127" s="29">
        <f>K104</f>
        <v>68114.5</v>
      </c>
      <c r="AA127" s="11"/>
      <c r="AO127" s="11"/>
      <c r="AP127" s="11"/>
    </row>
    <row r="128" spans="1:42" x14ac:dyDescent="0.2">
      <c r="P128" s="9"/>
      <c r="Q128" s="26"/>
      <c r="R128" s="34" t="s">
        <v>930</v>
      </c>
      <c r="S128" s="11">
        <f>K117+L117</f>
        <v>743911.88303999999</v>
      </c>
      <c r="U128" s="34"/>
      <c r="Z128" s="29">
        <f>L104</f>
        <v>-20221.939999999999</v>
      </c>
      <c r="AA128" s="11"/>
      <c r="AO128" s="11"/>
      <c r="AP128" s="11"/>
    </row>
    <row r="129" spans="1:42" x14ac:dyDescent="0.2">
      <c r="P129" s="9"/>
      <c r="Q129" s="26"/>
      <c r="R129" s="34" t="s">
        <v>582</v>
      </c>
      <c r="S129" s="133">
        <f>S128+S127</f>
        <v>165385385.08943218</v>
      </c>
      <c r="T129" s="11">
        <v>164337799.92816311</v>
      </c>
      <c r="U129" s="34">
        <f>T129-S129</f>
        <v>-1047585.1612690687</v>
      </c>
      <c r="Z129" s="29">
        <f>Z128+Z127+Z124</f>
        <v>11795909.413475936</v>
      </c>
      <c r="AA129" s="11"/>
      <c r="AO129" s="11"/>
      <c r="AP129" s="11"/>
    </row>
    <row r="130" spans="1:42" x14ac:dyDescent="0.2">
      <c r="P130" s="9"/>
      <c r="Q130" s="26"/>
      <c r="R130" s="34" t="s">
        <v>583</v>
      </c>
      <c r="S130" s="11">
        <f>AC117+X117</f>
        <v>9032954.367741935</v>
      </c>
      <c r="Z130" s="29">
        <f>'2015-16 Nursery Budget Final'!AX238</f>
        <v>11795909.712313173</v>
      </c>
      <c r="AA130" s="11"/>
      <c r="AO130" s="11"/>
      <c r="AP130" s="11"/>
    </row>
    <row r="131" spans="1:42" x14ac:dyDescent="0.2">
      <c r="P131" s="9"/>
      <c r="Q131" s="26"/>
      <c r="R131" s="29" t="s">
        <v>574</v>
      </c>
      <c r="S131" s="29">
        <f>S129+S130</f>
        <v>174418339.45717412</v>
      </c>
      <c r="Z131" s="29">
        <f>Z129-Z130</f>
        <v>-0.29883723706007004</v>
      </c>
      <c r="AA131" s="11"/>
      <c r="AO131" s="11"/>
      <c r="AP131" s="11"/>
    </row>
    <row r="132" spans="1:42" x14ac:dyDescent="0.2">
      <c r="P132" s="9"/>
      <c r="Q132" s="26"/>
      <c r="R132" s="29"/>
      <c r="S132" s="11">
        <f>AA117</f>
        <v>174418339.45717406</v>
      </c>
      <c r="Z132" s="29"/>
      <c r="AA132" s="11"/>
      <c r="AO132" s="11"/>
      <c r="AP132" s="11"/>
    </row>
    <row r="133" spans="1:42" x14ac:dyDescent="0.2">
      <c r="P133" s="9"/>
      <c r="Q133" s="26"/>
      <c r="R133" s="29" t="s">
        <v>575</v>
      </c>
      <c r="S133" s="11">
        <f>S132-S131</f>
        <v>0</v>
      </c>
      <c r="Z133" s="29"/>
      <c r="AA133" s="11"/>
      <c r="AO133" s="11"/>
      <c r="AP133" s="11"/>
    </row>
    <row r="134" spans="1:42" x14ac:dyDescent="0.2">
      <c r="P134" s="9"/>
      <c r="Q134" s="26"/>
      <c r="R134" s="29"/>
      <c r="S134" s="11"/>
      <c r="Z134" s="29"/>
      <c r="AA134" s="11"/>
      <c r="AO134" s="11"/>
      <c r="AP134" s="11"/>
    </row>
    <row r="135" spans="1:42" x14ac:dyDescent="0.2">
      <c r="P135" s="9"/>
      <c r="Q135" s="26"/>
      <c r="R135" s="34" t="s">
        <v>576</v>
      </c>
      <c r="S135" s="11"/>
      <c r="Z135" s="29"/>
      <c r="AA135" s="11"/>
      <c r="AO135" s="11"/>
      <c r="AP135" s="11"/>
    </row>
    <row r="136" spans="1:42" x14ac:dyDescent="0.2">
      <c r="P136" s="9"/>
      <c r="Q136" s="26"/>
      <c r="R136" s="29" t="s">
        <v>577</v>
      </c>
      <c r="S136" s="11">
        <f>'Special Schools &amp; PRU'!D24</f>
        <v>15443827.163689757</v>
      </c>
      <c r="Z136" s="29"/>
      <c r="AA136" s="11"/>
      <c r="AO136" s="11"/>
      <c r="AP136" s="11"/>
    </row>
    <row r="137" spans="1:42" x14ac:dyDescent="0.2">
      <c r="P137" s="9"/>
      <c r="Q137" s="26"/>
      <c r="R137" s="29" t="s">
        <v>552</v>
      </c>
      <c r="S137" s="11">
        <f>'Special Schools &amp; PRU'!D26</f>
        <v>117402</v>
      </c>
      <c r="Z137" s="29"/>
      <c r="AA137" s="11"/>
      <c r="AO137" s="11"/>
      <c r="AP137" s="11"/>
    </row>
    <row r="138" spans="1:42" x14ac:dyDescent="0.2">
      <c r="P138" s="9"/>
      <c r="Q138" s="26"/>
      <c r="R138" s="29"/>
      <c r="S138" s="29">
        <f>S137+S136</f>
        <v>15561229.163689757</v>
      </c>
      <c r="Z138" s="29"/>
      <c r="AA138" s="11"/>
      <c r="AO138" s="11"/>
      <c r="AP138" s="11"/>
    </row>
    <row r="139" spans="1:42" x14ac:dyDescent="0.2">
      <c r="P139" s="9"/>
      <c r="Q139" s="26"/>
      <c r="R139" s="29"/>
      <c r="S139" s="11"/>
      <c r="Z139" s="29"/>
      <c r="AA139" s="11"/>
      <c r="AK139" s="11" t="s">
        <v>694</v>
      </c>
      <c r="AO139" s="11"/>
      <c r="AP139" s="11"/>
    </row>
    <row r="140" spans="1:42" x14ac:dyDescent="0.2">
      <c r="P140" s="9"/>
      <c r="Q140" s="26"/>
      <c r="R140" s="29" t="s">
        <v>149</v>
      </c>
      <c r="S140" s="11">
        <f>S138+S131</f>
        <v>189979568.62086388</v>
      </c>
      <c r="Z140" s="29"/>
      <c r="AA140" s="11"/>
      <c r="AL140" s="11"/>
      <c r="AO140" s="11"/>
      <c r="AP140" s="11"/>
    </row>
    <row r="141" spans="1:42" x14ac:dyDescent="0.2">
      <c r="P141" s="9"/>
      <c r="Q141" s="26"/>
      <c r="R141" s="29"/>
      <c r="S141" s="11"/>
      <c r="Z141" s="29"/>
      <c r="AA141" s="11"/>
      <c r="AL141" s="11"/>
      <c r="AO141" s="11"/>
      <c r="AP141" s="11"/>
    </row>
    <row r="142" spans="1:42" x14ac:dyDescent="0.2">
      <c r="P142" s="9"/>
      <c r="Q142" s="26"/>
      <c r="R142" s="29"/>
      <c r="S142" s="11"/>
      <c r="Z142" s="29"/>
      <c r="AA142" s="11"/>
      <c r="AL142" s="11"/>
      <c r="AO142" s="11"/>
      <c r="AP142" s="11"/>
    </row>
    <row r="143" spans="1:42" x14ac:dyDescent="0.2">
      <c r="A143" s="79" t="s">
        <v>249</v>
      </c>
      <c r="B143" s="79">
        <v>206189</v>
      </c>
      <c r="C143" s="79"/>
      <c r="D143" s="78"/>
      <c r="E143" s="79"/>
      <c r="P143" s="9"/>
      <c r="Q143" s="26"/>
      <c r="R143" s="29"/>
      <c r="S143" s="11"/>
      <c r="Z143" s="29"/>
      <c r="AA143" s="11"/>
      <c r="AK143" s="11">
        <v>67693.272368673686</v>
      </c>
      <c r="AL143" s="11">
        <v>67693.272368673686</v>
      </c>
      <c r="AO143" s="11"/>
      <c r="AP143" s="11"/>
    </row>
    <row r="144" spans="1:42" x14ac:dyDescent="0.2">
      <c r="A144" s="1158" t="s">
        <v>10</v>
      </c>
      <c r="B144" s="94">
        <v>2012</v>
      </c>
      <c r="C144" s="94"/>
      <c r="D144" s="78"/>
      <c r="E144" s="79"/>
      <c r="P144" s="9"/>
      <c r="Q144" s="26"/>
      <c r="R144" s="29"/>
      <c r="S144" s="11"/>
      <c r="Z144" s="29"/>
      <c r="AA144" s="11"/>
      <c r="AL144" s="11"/>
      <c r="AO144" s="11"/>
      <c r="AP144" s="11"/>
    </row>
    <row r="145" spans="1:42" x14ac:dyDescent="0.2">
      <c r="A145" s="1158" t="s">
        <v>73</v>
      </c>
      <c r="B145" s="94">
        <v>5414</v>
      </c>
      <c r="C145" s="94"/>
      <c r="D145" s="78"/>
      <c r="E145" s="79"/>
      <c r="P145" s="9"/>
      <c r="Q145" s="26"/>
      <c r="R145" s="29"/>
      <c r="S145" s="11"/>
      <c r="Z145" s="29"/>
      <c r="AA145" s="11"/>
      <c r="AL145" s="11"/>
      <c r="AO145" s="11"/>
      <c r="AP145" s="11"/>
    </row>
    <row r="146" spans="1:42" x14ac:dyDescent="0.2">
      <c r="A146" s="1158" t="s">
        <v>912</v>
      </c>
      <c r="B146" s="94">
        <v>4000</v>
      </c>
      <c r="C146" s="94"/>
      <c r="D146" s="78"/>
      <c r="E146" s="79"/>
      <c r="P146" s="9"/>
      <c r="Q146" s="26"/>
      <c r="R146" s="29"/>
      <c r="S146" s="11"/>
      <c r="Z146" s="29"/>
      <c r="AA146" s="11"/>
      <c r="AL146" s="11"/>
      <c r="AO146" s="11"/>
      <c r="AP146" s="11"/>
    </row>
    <row r="147" spans="1:42" x14ac:dyDescent="0.2">
      <c r="A147" s="79" t="s">
        <v>11</v>
      </c>
      <c r="B147" s="79">
        <v>2443</v>
      </c>
      <c r="C147" s="79"/>
      <c r="D147" s="78"/>
      <c r="E147" s="79"/>
      <c r="P147" s="9"/>
      <c r="Q147" s="26"/>
      <c r="R147" s="29"/>
      <c r="S147" s="11"/>
      <c r="Z147" s="29"/>
      <c r="AA147" s="11"/>
      <c r="AL147" s="11"/>
      <c r="AO147" s="11"/>
      <c r="AP147" s="11"/>
    </row>
    <row r="148" spans="1:42" x14ac:dyDescent="0.2">
      <c r="A148" s="1158" t="s">
        <v>94</v>
      </c>
      <c r="B148" s="94">
        <v>2442</v>
      </c>
      <c r="C148" s="94"/>
      <c r="D148" s="78"/>
      <c r="E148" s="79"/>
      <c r="P148" s="9"/>
      <c r="Q148" s="26"/>
      <c r="R148" s="29"/>
      <c r="S148" s="11"/>
      <c r="Z148" s="29"/>
      <c r="AA148" s="11"/>
      <c r="AL148" s="11"/>
      <c r="AO148" s="11"/>
      <c r="AP148" s="11"/>
    </row>
    <row r="149" spans="1:42" x14ac:dyDescent="0.2">
      <c r="A149" s="80" t="s">
        <v>252</v>
      </c>
      <c r="B149" s="80" t="s">
        <v>253</v>
      </c>
      <c r="C149" s="80"/>
      <c r="D149" s="78"/>
      <c r="E149" s="79"/>
      <c r="P149" s="9"/>
      <c r="Q149" s="26"/>
      <c r="R149" s="29"/>
      <c r="S149" s="11"/>
      <c r="Z149" s="29"/>
      <c r="AA149" s="11"/>
      <c r="AK149" s="11">
        <v>55407.965688842109</v>
      </c>
      <c r="AL149" s="11">
        <v>55407.965688842109</v>
      </c>
      <c r="AO149" s="11"/>
      <c r="AP149" s="11"/>
    </row>
    <row r="150" spans="1:42" x14ac:dyDescent="0.2">
      <c r="A150" s="79" t="s">
        <v>13</v>
      </c>
      <c r="B150" s="79">
        <v>2629</v>
      </c>
      <c r="C150" s="79"/>
      <c r="D150" s="78"/>
      <c r="E150" s="79"/>
      <c r="P150" s="9"/>
      <c r="Q150" s="26"/>
      <c r="R150" s="29"/>
      <c r="S150" s="11"/>
      <c r="Z150" s="29"/>
      <c r="AA150" s="11"/>
      <c r="AL150" s="11"/>
      <c r="AO150" s="11"/>
      <c r="AP150" s="11"/>
    </row>
    <row r="151" spans="1:42" x14ac:dyDescent="0.2">
      <c r="A151" s="1158" t="s">
        <v>14</v>
      </c>
      <c r="B151" s="94">
        <v>2509</v>
      </c>
      <c r="C151" s="94"/>
      <c r="D151" s="78"/>
      <c r="E151" s="79"/>
      <c r="P151" s="9"/>
      <c r="Q151" s="39"/>
      <c r="R151" s="29"/>
      <c r="S151" s="11"/>
      <c r="Z151" s="29"/>
      <c r="AA151" s="11"/>
      <c r="AL151" s="11"/>
      <c r="AO151" s="11"/>
      <c r="AP151" s="11"/>
    </row>
    <row r="152" spans="1:42" x14ac:dyDescent="0.2">
      <c r="A152" s="79" t="s">
        <v>2</v>
      </c>
      <c r="B152" s="79">
        <v>1014</v>
      </c>
      <c r="C152" s="79"/>
      <c r="D152" s="78"/>
      <c r="E152" s="79"/>
      <c r="P152" s="59"/>
      <c r="Q152" s="26"/>
      <c r="R152" s="29"/>
      <c r="S152" s="11"/>
      <c r="Z152" s="29"/>
      <c r="AA152" s="11"/>
      <c r="AL152" s="11"/>
      <c r="AO152" s="11"/>
      <c r="AP152" s="11"/>
    </row>
    <row r="153" spans="1:42" x14ac:dyDescent="0.2">
      <c r="A153" s="1158" t="s">
        <v>15</v>
      </c>
      <c r="B153" s="94">
        <v>2005</v>
      </c>
      <c r="C153" s="94"/>
      <c r="D153" s="78"/>
      <c r="E153" s="79"/>
      <c r="P153" s="9"/>
      <c r="Q153" s="26"/>
      <c r="R153" s="29"/>
      <c r="S153" s="11"/>
      <c r="Z153" s="29"/>
      <c r="AA153" s="11"/>
      <c r="AL153" s="11"/>
      <c r="AO153" s="11"/>
      <c r="AP153" s="11"/>
    </row>
    <row r="154" spans="1:42" x14ac:dyDescent="0.2">
      <c r="A154" s="79" t="s">
        <v>16</v>
      </c>
      <c r="B154" s="79">
        <v>2464</v>
      </c>
      <c r="C154" s="79"/>
      <c r="D154" s="78"/>
      <c r="E154" s="79"/>
      <c r="P154" s="9"/>
      <c r="Q154" s="26"/>
      <c r="R154" s="29"/>
      <c r="S154" s="11"/>
      <c r="Z154" s="29"/>
      <c r="AA154" s="11"/>
      <c r="AL154" s="11"/>
      <c r="AO154" s="11"/>
      <c r="AP154" s="11"/>
    </row>
    <row r="155" spans="1:42" x14ac:dyDescent="0.2">
      <c r="A155" s="661" t="s">
        <v>763</v>
      </c>
      <c r="B155" s="697" t="s">
        <v>765</v>
      </c>
      <c r="C155" s="662"/>
      <c r="D155" s="78"/>
      <c r="E155" s="79"/>
      <c r="P155" s="9"/>
      <c r="Q155" s="26"/>
      <c r="R155" s="29"/>
      <c r="S155" s="11"/>
      <c r="Z155" s="29"/>
      <c r="AA155" s="11"/>
      <c r="AK155" s="11">
        <v>14351.776</v>
      </c>
      <c r="AL155" s="11">
        <v>14351.776</v>
      </c>
      <c r="AO155" s="11"/>
      <c r="AP155" s="11"/>
    </row>
    <row r="156" spans="1:42" x14ac:dyDescent="0.2">
      <c r="A156" s="79" t="s">
        <v>17</v>
      </c>
      <c r="B156" s="79">
        <v>2004</v>
      </c>
      <c r="C156" s="79"/>
      <c r="D156" s="78"/>
      <c r="E156" s="79"/>
      <c r="P156" s="9"/>
      <c r="Q156" s="26"/>
      <c r="R156" s="29"/>
      <c r="S156" s="11"/>
      <c r="Z156" s="29"/>
      <c r="AA156" s="11"/>
      <c r="AL156" s="11"/>
      <c r="AO156" s="11"/>
      <c r="AP156" s="11"/>
    </row>
    <row r="157" spans="1:42" x14ac:dyDescent="0.2">
      <c r="A157" s="79" t="s">
        <v>18</v>
      </c>
      <c r="B157" s="79">
        <v>2405</v>
      </c>
      <c r="C157" s="79"/>
      <c r="D157" s="78"/>
      <c r="E157" s="82"/>
      <c r="R157" s="29"/>
      <c r="S157" s="11"/>
      <c r="Z157" s="29"/>
      <c r="AA157" s="11"/>
      <c r="AL157" s="11"/>
      <c r="AO157" s="11"/>
      <c r="AP157" s="11"/>
    </row>
    <row r="158" spans="1:42" x14ac:dyDescent="0.2">
      <c r="A158" s="79" t="s">
        <v>254</v>
      </c>
      <c r="B158" s="79" t="s">
        <v>256</v>
      </c>
      <c r="C158" s="79"/>
      <c r="D158" s="78"/>
      <c r="E158" s="83"/>
      <c r="R158" s="29"/>
      <c r="S158" s="11"/>
      <c r="Z158" s="29"/>
      <c r="AA158" s="11"/>
      <c r="AK158" s="11">
        <v>55204.002711368419</v>
      </c>
      <c r="AL158" s="11">
        <v>55204.002711368419</v>
      </c>
      <c r="AO158" s="11"/>
      <c r="AP158" s="11"/>
    </row>
    <row r="159" spans="1:42" ht="15" x14ac:dyDescent="0.25">
      <c r="A159" s="1160" t="s">
        <v>261</v>
      </c>
      <c r="B159" s="1162" t="s">
        <v>766</v>
      </c>
      <c r="C159" s="1162"/>
      <c r="D159" s="78"/>
      <c r="E159" s="83"/>
      <c r="R159" s="29"/>
      <c r="S159" s="11"/>
      <c r="Z159" s="29"/>
      <c r="AA159" s="11"/>
      <c r="AK159" s="11">
        <v>0</v>
      </c>
      <c r="AL159" s="11">
        <v>0</v>
      </c>
      <c r="AO159" s="11"/>
      <c r="AP159" s="11"/>
    </row>
    <row r="160" spans="1:42" x14ac:dyDescent="0.2">
      <c r="A160" s="1163" t="s">
        <v>257</v>
      </c>
      <c r="B160" s="1164" t="s">
        <v>258</v>
      </c>
      <c r="C160" s="1164"/>
      <c r="D160" s="78"/>
      <c r="E160" s="82"/>
      <c r="R160" s="29"/>
      <c r="S160" s="11"/>
      <c r="Z160" s="29"/>
      <c r="AA160" s="11"/>
      <c r="AK160" s="11">
        <v>28138.280105642105</v>
      </c>
      <c r="AL160" s="11">
        <v>28138.280105642105</v>
      </c>
      <c r="AO160" s="11"/>
      <c r="AP160" s="11"/>
    </row>
    <row r="161" spans="1:42" x14ac:dyDescent="0.2">
      <c r="A161" s="1160" t="s">
        <v>259</v>
      </c>
      <c r="B161" s="1165" t="s">
        <v>260</v>
      </c>
      <c r="C161" s="1165"/>
      <c r="D161" s="78"/>
      <c r="E161" s="83"/>
      <c r="R161" s="29"/>
      <c r="S161" s="11"/>
      <c r="Z161" s="29"/>
      <c r="AA161" s="11"/>
      <c r="AK161" s="11">
        <v>29680.580068842104</v>
      </c>
      <c r="AL161" s="11">
        <v>29680.580068842104</v>
      </c>
      <c r="AO161" s="11"/>
      <c r="AP161" s="11"/>
    </row>
    <row r="162" spans="1:42" x14ac:dyDescent="0.2">
      <c r="A162" s="79" t="s">
        <v>19</v>
      </c>
      <c r="B162" s="79">
        <v>2011</v>
      </c>
      <c r="C162" s="79"/>
      <c r="D162" s="78"/>
      <c r="E162" s="82"/>
      <c r="R162" s="29"/>
      <c r="S162" s="11"/>
      <c r="Z162" s="29"/>
      <c r="AA162" s="11"/>
      <c r="AL162" s="11"/>
      <c r="AO162" s="11"/>
      <c r="AP162" s="11"/>
    </row>
    <row r="163" spans="1:42" x14ac:dyDescent="0.2">
      <c r="A163" s="80" t="s">
        <v>262</v>
      </c>
      <c r="B163" s="80" t="s">
        <v>263</v>
      </c>
      <c r="C163" s="80"/>
      <c r="D163" s="78"/>
      <c r="E163" s="82"/>
      <c r="R163" s="29"/>
      <c r="S163" s="11"/>
      <c r="Z163" s="29"/>
      <c r="AA163" s="11"/>
      <c r="AK163" s="11">
        <v>126675.87641856843</v>
      </c>
      <c r="AL163" s="11">
        <v>126675.87641856843</v>
      </c>
      <c r="AO163" s="11"/>
      <c r="AP163" s="11"/>
    </row>
    <row r="164" spans="1:42" x14ac:dyDescent="0.2">
      <c r="A164" s="79" t="s">
        <v>20</v>
      </c>
      <c r="B164" s="79">
        <v>5201</v>
      </c>
      <c r="C164" s="79"/>
      <c r="D164" s="78"/>
      <c r="E164" s="83"/>
      <c r="R164" s="29"/>
      <c r="S164" s="11"/>
      <c r="Z164" s="29"/>
      <c r="AA164" s="11"/>
      <c r="AL164" s="11"/>
      <c r="AO164" s="11"/>
      <c r="AP164" s="11"/>
    </row>
    <row r="165" spans="1:42" x14ac:dyDescent="0.2">
      <c r="A165" s="79" t="s">
        <v>264</v>
      </c>
      <c r="B165" s="79">
        <v>206124</v>
      </c>
      <c r="C165" s="79"/>
      <c r="D165" s="78"/>
      <c r="E165" s="83"/>
      <c r="R165" s="29"/>
      <c r="S165" s="11"/>
      <c r="Z165" s="29"/>
      <c r="AA165" s="11"/>
      <c r="AK165" s="11">
        <v>28350.897634989473</v>
      </c>
      <c r="AL165" s="11">
        <v>28350.897634989473</v>
      </c>
      <c r="AO165" s="11"/>
      <c r="AP165" s="11"/>
    </row>
    <row r="166" spans="1:42" x14ac:dyDescent="0.2">
      <c r="A166" s="79" t="s">
        <v>21</v>
      </c>
      <c r="B166" s="79">
        <v>2433</v>
      </c>
      <c r="C166" s="79"/>
      <c r="D166" s="78"/>
      <c r="E166" s="82"/>
      <c r="R166" s="29"/>
      <c r="S166" s="11"/>
      <c r="Z166" s="29"/>
      <c r="AA166" s="11"/>
      <c r="AL166" s="11"/>
      <c r="AO166" s="11"/>
      <c r="AP166" s="11"/>
    </row>
    <row r="167" spans="1:42" x14ac:dyDescent="0.2">
      <c r="A167" s="1158" t="s">
        <v>22</v>
      </c>
      <c r="B167" s="94">
        <v>2432</v>
      </c>
      <c r="C167" s="94"/>
      <c r="D167" s="78"/>
      <c r="E167" s="82"/>
      <c r="R167" s="29"/>
      <c r="S167" s="11"/>
      <c r="Z167" s="29"/>
      <c r="AA167" s="11"/>
      <c r="AL167" s="11"/>
      <c r="AO167" s="11"/>
      <c r="AP167" s="11"/>
    </row>
    <row r="168" spans="1:42" x14ac:dyDescent="0.2">
      <c r="A168" s="79" t="s">
        <v>267</v>
      </c>
      <c r="B168" s="79" t="s">
        <v>269</v>
      </c>
      <c r="C168" s="79"/>
      <c r="D168" s="78"/>
      <c r="E168" s="82"/>
      <c r="R168" s="29"/>
      <c r="S168" s="11"/>
      <c r="Z168" s="29"/>
      <c r="AA168" s="11"/>
      <c r="AK168" s="11">
        <v>31824.574453894737</v>
      </c>
      <c r="AL168" s="11">
        <v>31824.574453894737</v>
      </c>
      <c r="AO168" s="11"/>
      <c r="AP168" s="11"/>
    </row>
    <row r="169" spans="1:42" x14ac:dyDescent="0.2">
      <c r="A169" s="79" t="s">
        <v>199</v>
      </c>
      <c r="B169" s="79">
        <v>2447</v>
      </c>
      <c r="C169" s="79"/>
      <c r="D169" s="78"/>
      <c r="E169" s="82"/>
      <c r="R169" s="29"/>
      <c r="S169" s="11"/>
      <c r="Z169" s="29"/>
      <c r="AA169" s="11"/>
      <c r="AL169" s="11"/>
      <c r="AO169" s="11"/>
      <c r="AP169" s="11"/>
    </row>
    <row r="170" spans="1:42" x14ac:dyDescent="0.2">
      <c r="A170" s="79" t="s">
        <v>23</v>
      </c>
      <c r="B170" s="79">
        <v>2512</v>
      </c>
      <c r="C170" s="79"/>
      <c r="D170" s="78"/>
      <c r="E170" s="82"/>
      <c r="R170" s="29"/>
      <c r="S170" s="11"/>
      <c r="Z170" s="29"/>
      <c r="AA170" s="11"/>
      <c r="AL170" s="11"/>
      <c r="AO170" s="11"/>
      <c r="AP170" s="11"/>
    </row>
    <row r="171" spans="1:42" ht="15" x14ac:dyDescent="0.2">
      <c r="A171" s="79" t="s">
        <v>270</v>
      </c>
      <c r="B171" s="79">
        <v>206126</v>
      </c>
      <c r="C171" s="79"/>
      <c r="D171" s="78"/>
      <c r="E171" s="85"/>
      <c r="R171" s="29"/>
      <c r="S171" s="11"/>
      <c r="Z171" s="29"/>
      <c r="AA171" s="11"/>
      <c r="AK171" s="11">
        <v>57964.343616421051</v>
      </c>
      <c r="AL171" s="11">
        <v>57964.343616421051</v>
      </c>
      <c r="AO171" s="11"/>
      <c r="AP171" s="11"/>
    </row>
    <row r="172" spans="1:42" x14ac:dyDescent="0.2">
      <c r="A172" s="79" t="s">
        <v>272</v>
      </c>
      <c r="B172" s="79">
        <v>206111</v>
      </c>
      <c r="C172" s="79"/>
      <c r="D172" s="78"/>
      <c r="E172" s="86"/>
      <c r="R172" s="29"/>
      <c r="S172" s="11"/>
      <c r="Z172" s="29"/>
      <c r="AA172" s="11"/>
      <c r="AK172" s="11">
        <v>70724.921837810529</v>
      </c>
      <c r="AL172" s="11">
        <v>70724.921837810529</v>
      </c>
      <c r="AO172" s="11"/>
      <c r="AP172" s="11"/>
    </row>
    <row r="173" spans="1:42" x14ac:dyDescent="0.2">
      <c r="A173" s="79" t="s">
        <v>274</v>
      </c>
      <c r="B173" s="79">
        <v>206091</v>
      </c>
      <c r="C173" s="79"/>
      <c r="D173" s="78"/>
      <c r="E173" s="79"/>
      <c r="R173" s="29"/>
      <c r="S173" s="11"/>
      <c r="Z173" s="29"/>
      <c r="AA173" s="11"/>
      <c r="AK173" s="11">
        <v>72655.85969431579</v>
      </c>
      <c r="AL173" s="11">
        <v>72655.85969431579</v>
      </c>
      <c r="AO173" s="11"/>
      <c r="AP173" s="11"/>
    </row>
    <row r="174" spans="1:42" x14ac:dyDescent="0.2">
      <c r="A174" s="79" t="s">
        <v>24</v>
      </c>
      <c r="B174" s="79">
        <v>2456</v>
      </c>
      <c r="C174" s="79"/>
      <c r="D174" s="78"/>
      <c r="E174" s="79"/>
      <c r="R174" s="29"/>
      <c r="S174" s="11"/>
      <c r="Z174" s="29"/>
      <c r="AA174" s="11"/>
      <c r="AL174" s="11"/>
      <c r="AO174" s="11"/>
      <c r="AP174" s="11"/>
    </row>
    <row r="175" spans="1:42" x14ac:dyDescent="0.2">
      <c r="A175" s="79" t="s">
        <v>3</v>
      </c>
      <c r="B175" s="79">
        <v>1017</v>
      </c>
      <c r="C175" s="79"/>
      <c r="D175" s="78"/>
      <c r="E175" s="79"/>
      <c r="R175" s="29"/>
      <c r="S175" s="11"/>
      <c r="Z175" s="29"/>
      <c r="AA175" s="11"/>
      <c r="AL175" s="11"/>
      <c r="AO175" s="11"/>
      <c r="AP175" s="11"/>
    </row>
    <row r="176" spans="1:42" x14ac:dyDescent="0.2">
      <c r="A176" s="79" t="s">
        <v>25</v>
      </c>
      <c r="B176" s="79">
        <v>2449</v>
      </c>
      <c r="C176" s="79"/>
      <c r="D176" s="78"/>
      <c r="E176" s="79"/>
      <c r="R176" s="29"/>
      <c r="S176" s="11"/>
      <c r="Z176" s="29"/>
      <c r="AA176" s="11"/>
      <c r="AL176" s="11"/>
      <c r="AO176" s="11"/>
      <c r="AP176" s="11"/>
    </row>
    <row r="177" spans="1:42" x14ac:dyDescent="0.2">
      <c r="A177" s="1158" t="s">
        <v>26</v>
      </c>
      <c r="B177" s="79">
        <v>2448</v>
      </c>
      <c r="C177" s="79"/>
      <c r="D177" s="78"/>
      <c r="E177" s="79"/>
      <c r="R177" s="29"/>
      <c r="S177" s="11"/>
      <c r="Z177" s="29"/>
      <c r="AA177" s="11"/>
      <c r="AL177" s="11"/>
      <c r="AO177" s="11"/>
      <c r="AP177" s="11"/>
    </row>
    <row r="178" spans="1:42" x14ac:dyDescent="0.2">
      <c r="A178" s="79" t="s">
        <v>4</v>
      </c>
      <c r="B178" s="79">
        <v>1006</v>
      </c>
      <c r="C178" s="79"/>
      <c r="D178" s="78"/>
      <c r="E178" s="79"/>
      <c r="R178" s="29"/>
      <c r="S178" s="11"/>
      <c r="Z178" s="29"/>
      <c r="AA178" s="11"/>
      <c r="AL178" s="11"/>
      <c r="AO178" s="11"/>
      <c r="AP178" s="11"/>
    </row>
    <row r="179" spans="1:42" x14ac:dyDescent="0.2">
      <c r="A179" s="79" t="s">
        <v>27</v>
      </c>
      <c r="B179" s="79">
        <v>2467</v>
      </c>
      <c r="C179" s="79"/>
      <c r="D179" s="78"/>
      <c r="E179" s="79"/>
      <c r="R179" s="29"/>
      <c r="S179" s="11"/>
      <c r="Z179" s="29"/>
      <c r="AA179" s="11"/>
      <c r="AL179" s="11"/>
      <c r="AO179" s="11"/>
      <c r="AP179" s="11"/>
    </row>
    <row r="180" spans="1:42" x14ac:dyDescent="0.2">
      <c r="A180" s="1158" t="s">
        <v>75</v>
      </c>
      <c r="B180" s="94">
        <v>5402</v>
      </c>
      <c r="C180" s="94"/>
      <c r="D180" s="78"/>
      <c r="E180" s="79"/>
      <c r="R180" s="29"/>
      <c r="S180" s="11"/>
      <c r="Z180" s="29"/>
      <c r="AA180" s="11"/>
      <c r="AL180" s="11"/>
      <c r="AO180" s="11"/>
      <c r="AP180" s="11"/>
    </row>
    <row r="181" spans="1:42" x14ac:dyDescent="0.2">
      <c r="A181" s="1158" t="s">
        <v>28</v>
      </c>
      <c r="B181" s="94">
        <v>2455</v>
      </c>
      <c r="C181" s="94"/>
      <c r="D181" s="78"/>
      <c r="E181" s="79"/>
      <c r="R181" s="29"/>
      <c r="S181" s="11"/>
      <c r="Z181" s="29"/>
      <c r="AA181" s="11"/>
      <c r="AL181" s="11"/>
      <c r="AO181" s="11"/>
      <c r="AP181" s="11"/>
    </row>
    <row r="182" spans="1:42" x14ac:dyDescent="0.2">
      <c r="A182" s="1158" t="s">
        <v>29</v>
      </c>
      <c r="B182" s="94">
        <v>5203</v>
      </c>
      <c r="C182" s="94"/>
      <c r="D182" s="78"/>
      <c r="E182" s="79"/>
      <c r="R182" s="29"/>
      <c r="S182" s="11"/>
      <c r="Z182" s="29"/>
      <c r="AA182" s="11"/>
      <c r="AL182" s="11"/>
      <c r="AO182" s="11"/>
      <c r="AP182" s="11"/>
    </row>
    <row r="183" spans="1:42" x14ac:dyDescent="0.2">
      <c r="A183" s="107" t="s">
        <v>30</v>
      </c>
      <c r="B183" s="79">
        <v>2451</v>
      </c>
      <c r="C183" s="79"/>
      <c r="D183" s="78"/>
      <c r="E183" s="79"/>
      <c r="R183" s="29"/>
      <c r="S183" s="11"/>
      <c r="Z183" s="29"/>
      <c r="AA183" s="11"/>
      <c r="AL183" s="11"/>
      <c r="AO183" s="11"/>
      <c r="AP183" s="11"/>
    </row>
    <row r="184" spans="1:42" x14ac:dyDescent="0.2">
      <c r="A184" s="80" t="s">
        <v>276</v>
      </c>
      <c r="B184" s="80" t="s">
        <v>277</v>
      </c>
      <c r="C184" s="80"/>
      <c r="D184" s="78"/>
      <c r="E184" s="79"/>
      <c r="R184" s="29"/>
      <c r="S184" s="11"/>
      <c r="Z184" s="29"/>
      <c r="AA184" s="11"/>
      <c r="AK184" s="11">
        <v>32635.310149557896</v>
      </c>
      <c r="AL184" s="11">
        <v>32635.310149557896</v>
      </c>
      <c r="AO184" s="11"/>
      <c r="AP184" s="11"/>
    </row>
    <row r="185" spans="1:42" x14ac:dyDescent="0.2">
      <c r="A185" s="79" t="s">
        <v>278</v>
      </c>
      <c r="B185" s="79">
        <v>206128</v>
      </c>
      <c r="C185" s="79"/>
      <c r="D185" s="78"/>
      <c r="E185" s="79"/>
      <c r="R185" s="29"/>
      <c r="S185" s="11"/>
      <c r="Z185" s="29"/>
      <c r="AA185" s="11"/>
      <c r="AK185" s="11">
        <v>27151.834219157896</v>
      </c>
      <c r="AL185" s="11">
        <v>27151.834219157896</v>
      </c>
      <c r="AO185" s="11"/>
      <c r="AP185" s="11"/>
    </row>
    <row r="186" spans="1:42" x14ac:dyDescent="0.2">
      <c r="A186" s="1158" t="s">
        <v>452</v>
      </c>
      <c r="B186" s="94">
        <v>4002</v>
      </c>
      <c r="C186" s="94"/>
      <c r="D186" s="78"/>
      <c r="E186" s="79"/>
      <c r="R186" s="29"/>
      <c r="S186" s="11"/>
      <c r="Z186" s="29"/>
      <c r="AA186" s="11"/>
      <c r="AL186" s="11"/>
      <c r="AO186" s="11"/>
      <c r="AP186" s="11"/>
    </row>
    <row r="187" spans="1:42" x14ac:dyDescent="0.2">
      <c r="A187" s="456" t="s">
        <v>455</v>
      </c>
      <c r="B187" s="79">
        <v>2430</v>
      </c>
      <c r="C187" s="79"/>
      <c r="D187" s="78"/>
      <c r="E187" s="79"/>
      <c r="R187" s="29"/>
      <c r="S187" s="11"/>
      <c r="Z187" s="29"/>
      <c r="AA187" s="11"/>
      <c r="AL187" s="11"/>
      <c r="AO187" s="11"/>
      <c r="AP187" s="11"/>
    </row>
    <row r="188" spans="1:42" x14ac:dyDescent="0.2">
      <c r="A188" s="1167" t="s">
        <v>768</v>
      </c>
      <c r="B188" s="1169" t="s">
        <v>769</v>
      </c>
      <c r="C188" s="1169"/>
      <c r="D188" s="78"/>
      <c r="E188" s="79"/>
      <c r="R188" s="29"/>
      <c r="S188" s="11"/>
      <c r="Z188" s="29"/>
      <c r="AA188" s="11"/>
      <c r="AK188" s="11">
        <v>3801.5752000000002</v>
      </c>
      <c r="AL188" s="11">
        <v>3801.5752000000002</v>
      </c>
      <c r="AO188" s="11"/>
      <c r="AP188" s="11"/>
    </row>
    <row r="189" spans="1:42" x14ac:dyDescent="0.2">
      <c r="A189" s="1158" t="s">
        <v>68</v>
      </c>
      <c r="B189" s="94">
        <v>4608</v>
      </c>
      <c r="C189" s="94"/>
      <c r="D189" s="78"/>
      <c r="E189" s="79"/>
      <c r="R189" s="29"/>
      <c r="S189" s="11"/>
      <c r="Z189" s="29"/>
      <c r="AA189" s="11"/>
      <c r="AL189" s="11"/>
      <c r="AO189" s="11"/>
      <c r="AP189" s="11"/>
    </row>
    <row r="190" spans="1:42" x14ac:dyDescent="0.2">
      <c r="A190" s="1158" t="s">
        <v>31</v>
      </c>
      <c r="B190" s="94">
        <v>2409</v>
      </c>
      <c r="C190" s="94"/>
      <c r="D190" s="78"/>
      <c r="E190" s="79"/>
      <c r="P190" s="9"/>
      <c r="Q190" s="26"/>
      <c r="R190" s="29"/>
      <c r="S190" s="11"/>
      <c r="Z190" s="29"/>
      <c r="AA190" s="11"/>
      <c r="AL190" s="11"/>
      <c r="AO190" s="11"/>
      <c r="AP190" s="11"/>
    </row>
    <row r="191" spans="1:42" ht="63.75" x14ac:dyDescent="0.2">
      <c r="A191" s="1170" t="s">
        <v>281</v>
      </c>
      <c r="B191" s="1168" t="s">
        <v>282</v>
      </c>
      <c r="C191" s="1168"/>
      <c r="D191" s="78"/>
      <c r="E191" s="79"/>
      <c r="P191" s="9"/>
      <c r="Q191" s="26"/>
      <c r="R191" s="29"/>
      <c r="S191" s="11"/>
      <c r="Z191" s="29"/>
      <c r="AA191" s="11"/>
      <c r="AK191" s="11">
        <v>13933.331789473685</v>
      </c>
      <c r="AL191" s="11">
        <v>13933.331789473685</v>
      </c>
      <c r="AO191" s="11"/>
      <c r="AP191" s="11"/>
    </row>
    <row r="192" spans="1:42" x14ac:dyDescent="0.2">
      <c r="A192" s="1171" t="s">
        <v>1401</v>
      </c>
      <c r="B192" s="1173" t="s">
        <v>771</v>
      </c>
      <c r="C192" s="1173"/>
      <c r="D192" s="78"/>
      <c r="E192" s="79"/>
      <c r="P192" s="9"/>
      <c r="Q192" s="26"/>
      <c r="R192" s="29"/>
      <c r="S192" s="11"/>
      <c r="Z192" s="29"/>
      <c r="AA192" s="11"/>
      <c r="AK192" s="11">
        <v>0</v>
      </c>
      <c r="AL192" s="11">
        <v>0</v>
      </c>
      <c r="AO192" s="11"/>
      <c r="AP192" s="11"/>
    </row>
    <row r="193" spans="1:42" x14ac:dyDescent="0.2">
      <c r="A193" s="1174" t="s">
        <v>539</v>
      </c>
      <c r="B193" s="96">
        <v>205921</v>
      </c>
      <c r="C193" s="96"/>
      <c r="D193" s="78"/>
      <c r="E193" s="79"/>
      <c r="P193" s="9"/>
      <c r="Q193" s="26"/>
      <c r="R193" s="29"/>
      <c r="S193" s="11"/>
      <c r="Z193" s="29"/>
      <c r="AA193" s="11"/>
      <c r="AK193" s="11">
        <v>397</v>
      </c>
      <c r="AL193" s="11">
        <v>397</v>
      </c>
      <c r="AO193" s="11"/>
      <c r="AP193" s="11"/>
    </row>
    <row r="194" spans="1:42" x14ac:dyDescent="0.2">
      <c r="A194" s="1171" t="s">
        <v>1372</v>
      </c>
      <c r="B194" s="1154" t="s">
        <v>776</v>
      </c>
      <c r="C194" s="1154"/>
      <c r="D194" s="78"/>
      <c r="E194" s="79"/>
      <c r="P194" s="9"/>
      <c r="Q194" s="26"/>
      <c r="R194" s="29"/>
      <c r="S194" s="11"/>
      <c r="Z194" s="29"/>
      <c r="AA194" s="11"/>
      <c r="AK194" s="11">
        <v>0</v>
      </c>
      <c r="AL194" s="11">
        <v>0</v>
      </c>
      <c r="AO194" s="11"/>
      <c r="AP194" s="11"/>
    </row>
    <row r="195" spans="1:42" x14ac:dyDescent="0.2">
      <c r="A195" s="1174" t="s">
        <v>538</v>
      </c>
      <c r="B195" s="96">
        <v>205999</v>
      </c>
      <c r="C195" s="96"/>
      <c r="D195" s="78"/>
      <c r="E195" s="79"/>
      <c r="P195" s="9"/>
      <c r="Q195" s="26"/>
      <c r="R195" s="29"/>
      <c r="S195" s="11"/>
      <c r="Z195" s="29"/>
      <c r="AA195" s="11"/>
      <c r="AK195" s="11">
        <v>6459.8148404210524</v>
      </c>
      <c r="AL195" s="11">
        <v>6459.8148404210524</v>
      </c>
      <c r="AO195" s="11"/>
      <c r="AP195" s="11"/>
    </row>
    <row r="196" spans="1:42" x14ac:dyDescent="0.2">
      <c r="A196" s="96" t="s">
        <v>537</v>
      </c>
      <c r="B196" s="95" t="s">
        <v>283</v>
      </c>
      <c r="C196" s="95"/>
      <c r="D196" s="78"/>
      <c r="E196" s="79"/>
      <c r="P196" s="9"/>
      <c r="Q196" s="26"/>
      <c r="R196" s="29"/>
      <c r="S196" s="11"/>
      <c r="Z196" s="29"/>
      <c r="AA196" s="11"/>
      <c r="AK196" s="11">
        <v>0</v>
      </c>
      <c r="AL196" s="11">
        <v>0</v>
      </c>
      <c r="AO196" s="11"/>
      <c r="AP196" s="11"/>
    </row>
    <row r="197" spans="1:42" x14ac:dyDescent="0.2">
      <c r="A197" s="1171" t="s">
        <v>1373</v>
      </c>
      <c r="B197" s="1153">
        <v>206065</v>
      </c>
      <c r="C197" s="1153"/>
      <c r="D197" s="78"/>
      <c r="E197" s="79"/>
      <c r="P197" s="9"/>
      <c r="Q197" s="26"/>
      <c r="R197" s="29"/>
      <c r="S197" s="11"/>
      <c r="Z197" s="29"/>
      <c r="AA197" s="11"/>
      <c r="AK197" s="11">
        <v>1325</v>
      </c>
      <c r="AL197" s="11">
        <v>1325</v>
      </c>
      <c r="AO197" s="11"/>
      <c r="AP197" s="11"/>
    </row>
    <row r="198" spans="1:42" x14ac:dyDescent="0.2">
      <c r="A198" s="1175" t="s">
        <v>1375</v>
      </c>
      <c r="B198" s="1154" t="s">
        <v>787</v>
      </c>
      <c r="C198" s="1154"/>
      <c r="D198" s="78"/>
      <c r="E198" s="79"/>
      <c r="P198" s="9"/>
      <c r="Q198" s="26"/>
      <c r="R198" s="29"/>
      <c r="S198" s="11"/>
      <c r="Z198" s="29"/>
      <c r="AA198" s="11"/>
      <c r="AK198" s="11">
        <v>4784.6480000000001</v>
      </c>
      <c r="AL198" s="11">
        <v>4784.6480000000001</v>
      </c>
      <c r="AO198" s="11"/>
      <c r="AP198" s="11"/>
    </row>
    <row r="199" spans="1:42" x14ac:dyDescent="0.2">
      <c r="A199" s="456" t="s">
        <v>589</v>
      </c>
      <c r="B199" s="1176" t="s">
        <v>288</v>
      </c>
      <c r="C199" s="1176"/>
      <c r="D199" s="78"/>
      <c r="E199" s="79"/>
      <c r="P199" s="9"/>
      <c r="Q199" s="26"/>
      <c r="R199" s="29"/>
      <c r="S199" s="11"/>
      <c r="Z199" s="29"/>
      <c r="AA199" s="11"/>
      <c r="AK199" s="11">
        <v>5637.0519999999997</v>
      </c>
      <c r="AL199" s="11">
        <v>5637.0519999999997</v>
      </c>
      <c r="AO199" s="11"/>
      <c r="AP199" s="11"/>
    </row>
    <row r="200" spans="1:42" x14ac:dyDescent="0.2">
      <c r="A200" s="456" t="s">
        <v>587</v>
      </c>
      <c r="B200" s="1154" t="s">
        <v>784</v>
      </c>
      <c r="C200" s="1154"/>
      <c r="D200" s="78"/>
      <c r="E200" s="79"/>
      <c r="P200" s="9"/>
      <c r="Q200" s="26"/>
      <c r="R200" s="29"/>
      <c r="S200" s="11"/>
      <c r="Z200" s="29"/>
      <c r="AA200" s="11"/>
      <c r="AK200" s="11">
        <v>21.988800000000001</v>
      </c>
      <c r="AL200" s="11">
        <v>21.988800000000001</v>
      </c>
      <c r="AO200" s="11"/>
      <c r="AP200" s="11"/>
    </row>
    <row r="201" spans="1:42" x14ac:dyDescent="0.2">
      <c r="A201" s="1171" t="s">
        <v>1374</v>
      </c>
      <c r="B201" s="1154" t="s">
        <v>781</v>
      </c>
      <c r="C201" s="1154"/>
      <c r="D201" s="78"/>
      <c r="E201" s="79"/>
      <c r="P201" s="9"/>
      <c r="Q201" s="26"/>
      <c r="R201" s="29"/>
      <c r="S201" s="11"/>
      <c r="Z201" s="29"/>
      <c r="AA201" s="11"/>
      <c r="AK201" s="11">
        <v>0</v>
      </c>
      <c r="AL201" s="11">
        <v>0</v>
      </c>
      <c r="AO201" s="11"/>
      <c r="AP201" s="11"/>
    </row>
    <row r="202" spans="1:42" x14ac:dyDescent="0.2">
      <c r="A202" s="1171" t="s">
        <v>1376</v>
      </c>
      <c r="B202" s="1178">
        <v>205919</v>
      </c>
      <c r="C202" s="1178"/>
      <c r="D202" s="78"/>
      <c r="E202" s="79"/>
      <c r="P202" s="9"/>
      <c r="Q202" s="26"/>
      <c r="R202" s="29"/>
      <c r="S202" s="11"/>
      <c r="Z202" s="29"/>
      <c r="AA202" s="11"/>
      <c r="AK202" s="11">
        <v>1435</v>
      </c>
      <c r="AL202" s="11">
        <v>1435</v>
      </c>
      <c r="AO202" s="11"/>
      <c r="AP202" s="11"/>
    </row>
    <row r="203" spans="1:42" x14ac:dyDescent="0.2">
      <c r="A203" s="96" t="s">
        <v>541</v>
      </c>
      <c r="B203" s="95" t="s">
        <v>287</v>
      </c>
      <c r="C203" s="95"/>
      <c r="D203" s="78"/>
      <c r="E203" s="79"/>
      <c r="R203" s="29"/>
      <c r="S203" s="11"/>
      <c r="Z203" s="29"/>
      <c r="AA203" s="11"/>
      <c r="AK203" s="11">
        <v>1502.1992</v>
      </c>
      <c r="AL203" s="11">
        <v>1502.1992</v>
      </c>
      <c r="AO203" s="11"/>
      <c r="AP203" s="11"/>
    </row>
    <row r="204" spans="1:42" x14ac:dyDescent="0.2">
      <c r="A204" s="1171" t="s">
        <v>1377</v>
      </c>
      <c r="B204" s="1179" t="s">
        <v>791</v>
      </c>
      <c r="C204" s="1179"/>
      <c r="D204" s="78"/>
      <c r="E204" s="79"/>
      <c r="R204" s="29"/>
      <c r="S204" s="11"/>
      <c r="Z204" s="29"/>
      <c r="AA204" s="11"/>
      <c r="AK204" s="11">
        <v>0</v>
      </c>
      <c r="AL204" s="11">
        <v>0</v>
      </c>
      <c r="AO204" s="11"/>
      <c r="AP204" s="11"/>
    </row>
    <row r="205" spans="1:42" x14ac:dyDescent="0.2">
      <c r="A205" s="1171" t="s">
        <v>1378</v>
      </c>
      <c r="B205" s="1169" t="s">
        <v>793</v>
      </c>
      <c r="C205" s="1169"/>
      <c r="D205" s="78"/>
      <c r="E205" s="79"/>
      <c r="R205" s="29"/>
      <c r="S205" s="11"/>
      <c r="Z205" s="29"/>
      <c r="AA205" s="11"/>
      <c r="AK205" s="11">
        <v>2098</v>
      </c>
      <c r="AL205" s="11">
        <v>2098</v>
      </c>
      <c r="AO205" s="11"/>
      <c r="AP205" s="11"/>
    </row>
    <row r="206" spans="1:42" x14ac:dyDescent="0.2">
      <c r="A206" s="1180" t="s">
        <v>1380</v>
      </c>
      <c r="B206" s="1154" t="s">
        <v>796</v>
      </c>
      <c r="C206" s="1154"/>
      <c r="D206" s="78"/>
      <c r="E206" s="79"/>
      <c r="R206" s="29"/>
      <c r="S206" s="11"/>
      <c r="Z206" s="29"/>
      <c r="AA206" s="11"/>
      <c r="AK206" s="11">
        <v>0</v>
      </c>
      <c r="AL206" s="11">
        <v>0</v>
      </c>
      <c r="AO206" s="11"/>
      <c r="AP206" s="11"/>
    </row>
    <row r="207" spans="1:42" x14ac:dyDescent="0.2">
      <c r="A207" s="1181" t="s">
        <v>1379</v>
      </c>
      <c r="B207" s="697">
        <v>205849</v>
      </c>
      <c r="C207" s="697"/>
      <c r="D207" s="78"/>
      <c r="E207" s="79"/>
      <c r="R207" s="29"/>
      <c r="S207" s="11"/>
      <c r="Z207" s="29"/>
      <c r="AA207" s="11"/>
      <c r="AK207" s="11">
        <v>4894.6480000000001</v>
      </c>
      <c r="AL207" s="11">
        <v>4894.6480000000001</v>
      </c>
      <c r="AO207" s="11"/>
      <c r="AP207" s="11"/>
    </row>
    <row r="208" spans="1:42" x14ac:dyDescent="0.2">
      <c r="A208" s="456" t="s">
        <v>594</v>
      </c>
      <c r="B208" s="1176" t="s">
        <v>284</v>
      </c>
      <c r="C208" s="1176"/>
      <c r="D208" s="78"/>
      <c r="E208" s="79"/>
      <c r="R208" s="29"/>
      <c r="S208" s="11"/>
      <c r="Z208" s="29"/>
      <c r="AA208" s="11"/>
      <c r="AK208" s="11">
        <v>36.648000000000003</v>
      </c>
      <c r="AL208" s="11">
        <v>36.648000000000003</v>
      </c>
      <c r="AO208" s="11"/>
      <c r="AP208" s="11"/>
    </row>
    <row r="209" spans="1:42" x14ac:dyDescent="0.2">
      <c r="A209" s="1182" t="s">
        <v>1381</v>
      </c>
      <c r="B209" s="1154" t="s">
        <v>798</v>
      </c>
      <c r="C209" s="1154"/>
      <c r="D209" s="78"/>
      <c r="E209" s="79"/>
      <c r="R209" s="29"/>
      <c r="S209" s="11"/>
      <c r="Z209" s="29"/>
      <c r="AA209" s="11"/>
      <c r="AK209" s="11">
        <v>2827</v>
      </c>
      <c r="AL209" s="11">
        <v>2827</v>
      </c>
      <c r="AO209" s="11"/>
      <c r="AP209" s="11"/>
    </row>
    <row r="210" spans="1:42" x14ac:dyDescent="0.2">
      <c r="A210" s="1183" t="s">
        <v>1385</v>
      </c>
      <c r="B210" s="1184">
        <v>205922</v>
      </c>
      <c r="C210" s="1184"/>
      <c r="D210" s="78"/>
      <c r="E210" s="79"/>
      <c r="R210" s="29"/>
      <c r="S210" s="11"/>
      <c r="Z210" s="29"/>
      <c r="AA210" s="11"/>
      <c r="AK210" s="11">
        <v>3353.2533938526317</v>
      </c>
      <c r="AL210" s="11">
        <v>3353.2533938526317</v>
      </c>
      <c r="AO210" s="11"/>
      <c r="AP210" s="11"/>
    </row>
    <row r="211" spans="1:42" x14ac:dyDescent="0.2">
      <c r="A211" s="1185" t="s">
        <v>1384</v>
      </c>
      <c r="B211" s="1179">
        <v>205881</v>
      </c>
      <c r="C211" s="1179"/>
      <c r="D211" s="78"/>
      <c r="E211" s="79"/>
      <c r="R211" s="29"/>
      <c r="S211" s="11"/>
      <c r="Z211" s="29"/>
      <c r="AA211" s="11"/>
      <c r="AK211" s="11">
        <v>2177.404</v>
      </c>
      <c r="AL211" s="11">
        <v>2177.404</v>
      </c>
      <c r="AO211" s="11"/>
      <c r="AP211" s="11"/>
    </row>
    <row r="212" spans="1:42" x14ac:dyDescent="0.2">
      <c r="A212" s="1186" t="s">
        <v>1382</v>
      </c>
      <c r="B212" s="1187" t="s">
        <v>801</v>
      </c>
      <c r="C212" s="1187"/>
      <c r="D212" s="78"/>
      <c r="E212" s="79"/>
      <c r="R212" s="29"/>
      <c r="S212" s="11"/>
      <c r="Z212" s="29"/>
      <c r="AA212" s="11"/>
      <c r="AK212" s="11">
        <v>2098</v>
      </c>
      <c r="AL212" s="11">
        <v>2098</v>
      </c>
      <c r="AO212" s="11"/>
      <c r="AP212" s="11"/>
    </row>
    <row r="213" spans="1:42" x14ac:dyDescent="0.2">
      <c r="A213" s="1174" t="s">
        <v>542</v>
      </c>
      <c r="B213" s="96" t="s">
        <v>289</v>
      </c>
      <c r="C213" s="96"/>
      <c r="D213" s="78"/>
      <c r="E213" s="79"/>
      <c r="R213" s="29"/>
      <c r="S213" s="11"/>
      <c r="Z213" s="29"/>
      <c r="AA213" s="11"/>
      <c r="AK213" s="11">
        <v>704.75599999999997</v>
      </c>
      <c r="AL213" s="11">
        <v>704.75599999999997</v>
      </c>
      <c r="AO213" s="11"/>
      <c r="AP213" s="11"/>
    </row>
    <row r="214" spans="1:42" x14ac:dyDescent="0.2">
      <c r="A214" s="1171" t="s">
        <v>1383</v>
      </c>
      <c r="B214" s="1179" t="s">
        <v>806</v>
      </c>
      <c r="C214" s="1179"/>
      <c r="D214" s="78"/>
      <c r="E214" s="79"/>
      <c r="R214" s="29"/>
      <c r="S214" s="11"/>
      <c r="Z214" s="29"/>
      <c r="AA214" s="11"/>
      <c r="AK214" s="11">
        <v>0</v>
      </c>
      <c r="AL214" s="11">
        <v>0</v>
      </c>
      <c r="AO214" s="11"/>
      <c r="AP214" s="11"/>
    </row>
    <row r="215" spans="1:42" x14ac:dyDescent="0.2">
      <c r="A215" s="1185" t="s">
        <v>807</v>
      </c>
      <c r="B215" s="1179" t="s">
        <v>808</v>
      </c>
      <c r="C215" s="1179"/>
      <c r="D215" s="78"/>
      <c r="E215" s="79"/>
      <c r="R215" s="29"/>
      <c r="S215" s="11"/>
      <c r="Z215" s="29"/>
      <c r="AA215" s="11"/>
      <c r="AK215" s="11">
        <v>109.94400000000002</v>
      </c>
      <c r="AL215" s="11">
        <v>109.94400000000002</v>
      </c>
      <c r="AO215" s="11"/>
      <c r="AP215" s="11"/>
    </row>
    <row r="216" spans="1:42" x14ac:dyDescent="0.2">
      <c r="A216" s="1185" t="s">
        <v>1386</v>
      </c>
      <c r="B216" s="1189" t="s">
        <v>811</v>
      </c>
      <c r="C216" s="1189"/>
      <c r="D216" s="78"/>
      <c r="E216" s="79"/>
      <c r="R216" s="29"/>
      <c r="S216" s="11"/>
      <c r="Z216" s="29"/>
      <c r="AA216" s="11"/>
      <c r="AK216" s="11">
        <v>2098</v>
      </c>
      <c r="AL216" s="11">
        <v>2098</v>
      </c>
      <c r="AO216" s="11"/>
      <c r="AP216" s="11"/>
    </row>
    <row r="217" spans="1:42" x14ac:dyDescent="0.2">
      <c r="A217" s="1181" t="s">
        <v>543</v>
      </c>
      <c r="B217" s="96">
        <v>2</v>
      </c>
      <c r="C217" s="96"/>
      <c r="D217" s="78"/>
      <c r="E217" s="79"/>
      <c r="R217" s="29"/>
      <c r="S217" s="11"/>
      <c r="Z217" s="29"/>
      <c r="AA217" s="11"/>
      <c r="AK217" s="11">
        <v>0</v>
      </c>
      <c r="AL217" s="11">
        <v>0</v>
      </c>
      <c r="AO217" s="11"/>
      <c r="AP217" s="11"/>
    </row>
    <row r="218" spans="1:42" x14ac:dyDescent="0.2">
      <c r="A218" s="1192" t="s">
        <v>1387</v>
      </c>
      <c r="B218" s="1150" t="s">
        <v>668</v>
      </c>
      <c r="C218" s="1150"/>
      <c r="D218" s="78"/>
      <c r="E218" s="89"/>
      <c r="R218" s="29"/>
      <c r="S218" s="11"/>
      <c r="Z218" s="29"/>
      <c r="AA218" s="11"/>
      <c r="AK218" s="11">
        <v>0</v>
      </c>
      <c r="AL218" s="11">
        <v>0</v>
      </c>
      <c r="AO218" s="11"/>
      <c r="AP218" s="11"/>
    </row>
    <row r="219" spans="1:42" x14ac:dyDescent="0.2">
      <c r="A219" s="693" t="s">
        <v>1388</v>
      </c>
      <c r="B219" s="1179" t="s">
        <v>686</v>
      </c>
      <c r="C219" s="1179"/>
      <c r="D219" s="78"/>
      <c r="E219" s="79"/>
      <c r="R219" s="29"/>
      <c r="S219" s="11"/>
      <c r="Z219" s="29"/>
      <c r="AA219" s="11"/>
      <c r="AK219" s="11">
        <v>1325</v>
      </c>
      <c r="AL219" s="11">
        <v>1325</v>
      </c>
      <c r="AO219" s="11"/>
      <c r="AP219" s="11"/>
    </row>
    <row r="220" spans="1:42" x14ac:dyDescent="0.2">
      <c r="A220" s="96" t="s">
        <v>544</v>
      </c>
      <c r="B220" s="1184">
        <v>205956</v>
      </c>
      <c r="C220" s="1184"/>
      <c r="D220" s="78"/>
      <c r="E220" s="79"/>
      <c r="R220" s="29"/>
      <c r="S220" s="11"/>
      <c r="Z220" s="29"/>
      <c r="AA220" s="11"/>
      <c r="AK220" s="11">
        <v>0</v>
      </c>
      <c r="AL220" s="11">
        <v>0</v>
      </c>
      <c r="AO220" s="11"/>
      <c r="AP220" s="11"/>
    </row>
    <row r="221" spans="1:42" x14ac:dyDescent="0.2">
      <c r="A221" s="702" t="s">
        <v>1389</v>
      </c>
      <c r="B221" s="1169">
        <v>260849</v>
      </c>
      <c r="C221" s="1169"/>
      <c r="D221" s="78"/>
      <c r="E221" s="79"/>
      <c r="R221" s="29"/>
      <c r="S221" s="11"/>
      <c r="Z221" s="29"/>
      <c r="AA221" s="11"/>
      <c r="AK221" s="11">
        <v>13029</v>
      </c>
      <c r="AL221" s="11">
        <v>13029</v>
      </c>
      <c r="AO221" s="11"/>
      <c r="AP221" s="11"/>
    </row>
    <row r="222" spans="1:42" x14ac:dyDescent="0.2">
      <c r="A222" s="693" t="s">
        <v>1390</v>
      </c>
      <c r="B222" s="1169" t="s">
        <v>818</v>
      </c>
      <c r="C222" s="1169"/>
      <c r="D222" s="78"/>
      <c r="E222" s="79"/>
      <c r="R222" s="29"/>
      <c r="S222" s="11"/>
      <c r="Z222" s="29"/>
      <c r="AA222" s="11"/>
      <c r="AK222" s="11">
        <v>6294</v>
      </c>
      <c r="AL222" s="11">
        <v>6294</v>
      </c>
      <c r="AO222" s="11"/>
      <c r="AP222" s="11"/>
    </row>
    <row r="223" spans="1:42" x14ac:dyDescent="0.2">
      <c r="A223" s="1193" t="s">
        <v>1391</v>
      </c>
      <c r="B223" s="1165" t="s">
        <v>291</v>
      </c>
      <c r="C223" s="1165"/>
      <c r="D223" s="78"/>
      <c r="E223" s="79"/>
      <c r="F223" s="22"/>
      <c r="AK223" s="11">
        <v>4072.86</v>
      </c>
      <c r="AL223" s="11">
        <v>4072.86</v>
      </c>
      <c r="AO223" s="11"/>
      <c r="AP223" s="11"/>
    </row>
    <row r="224" spans="1:42" x14ac:dyDescent="0.2">
      <c r="A224" s="1145" t="s">
        <v>1392</v>
      </c>
      <c r="B224" s="1154" t="s">
        <v>821</v>
      </c>
      <c r="C224" s="1154"/>
      <c r="D224" s="78"/>
      <c r="E224" s="79"/>
      <c r="F224" s="22"/>
      <c r="AK224" s="11">
        <v>5948.616</v>
      </c>
      <c r="AL224" s="11">
        <v>5948.616</v>
      </c>
      <c r="AO224" s="11"/>
      <c r="AP224" s="11"/>
    </row>
    <row r="225" spans="1:42" x14ac:dyDescent="0.2">
      <c r="A225" s="1142" t="s">
        <v>1394</v>
      </c>
      <c r="B225" s="1154" t="s">
        <v>825</v>
      </c>
      <c r="C225" s="690"/>
      <c r="D225" s="78"/>
      <c r="E225" s="79"/>
      <c r="F225" s="22"/>
      <c r="AK225" s="11">
        <v>109.944</v>
      </c>
      <c r="AL225" s="11">
        <v>109.944</v>
      </c>
      <c r="AO225" s="11"/>
      <c r="AP225" s="11"/>
    </row>
    <row r="226" spans="1:42" x14ac:dyDescent="0.2">
      <c r="A226" s="1142" t="s">
        <v>1393</v>
      </c>
      <c r="B226" s="1189" t="s">
        <v>823</v>
      </c>
      <c r="C226" s="1189"/>
      <c r="D226" s="78"/>
      <c r="E226" s="79"/>
      <c r="F226" s="22"/>
      <c r="AK226" s="11">
        <v>0</v>
      </c>
      <c r="AL226" s="11">
        <v>0</v>
      </c>
      <c r="AO226" s="11"/>
      <c r="AP226" s="11"/>
    </row>
    <row r="227" spans="1:42" x14ac:dyDescent="0.2">
      <c r="A227" s="583" t="s">
        <v>1396</v>
      </c>
      <c r="B227" s="1154" t="s">
        <v>830</v>
      </c>
      <c r="C227" s="690"/>
      <c r="D227" s="78"/>
      <c r="E227" s="79"/>
      <c r="F227" s="22"/>
      <c r="AK227" s="11">
        <v>698.64800000000002</v>
      </c>
      <c r="AL227" s="11">
        <v>698.64800000000002</v>
      </c>
      <c r="AO227" s="11"/>
      <c r="AP227" s="11"/>
    </row>
    <row r="228" spans="1:42" x14ac:dyDescent="0.2">
      <c r="A228" s="1143" t="s">
        <v>1395</v>
      </c>
      <c r="B228" s="1154" t="s">
        <v>827</v>
      </c>
      <c r="C228" s="1154"/>
      <c r="D228" s="78"/>
      <c r="E228" s="79"/>
      <c r="F228" s="22"/>
      <c r="AK228" s="11">
        <v>36.648000000000003</v>
      </c>
      <c r="AL228" s="11">
        <v>36.648000000000003</v>
      </c>
      <c r="AO228" s="11"/>
      <c r="AP228" s="11"/>
    </row>
    <row r="229" spans="1:42" x14ac:dyDescent="0.2">
      <c r="A229" s="1181" t="s">
        <v>591</v>
      </c>
      <c r="B229" s="95" t="s">
        <v>293</v>
      </c>
      <c r="C229" s="95"/>
      <c r="D229" s="78"/>
      <c r="E229" s="79"/>
      <c r="F229" s="22"/>
      <c r="AK229" s="11">
        <v>4995.7925812631584</v>
      </c>
      <c r="AL229" s="11">
        <v>4995.7925812631584</v>
      </c>
      <c r="AO229" s="11"/>
      <c r="AP229" s="11"/>
    </row>
    <row r="230" spans="1:42" x14ac:dyDescent="0.2">
      <c r="A230" s="1142" t="s">
        <v>1402</v>
      </c>
      <c r="B230" s="697" t="s">
        <v>833</v>
      </c>
      <c r="C230" s="662"/>
      <c r="D230" s="78"/>
      <c r="E230" s="79"/>
      <c r="F230" s="22"/>
      <c r="AK230" s="11">
        <v>1398.296</v>
      </c>
      <c r="AL230" s="11">
        <v>1398.296</v>
      </c>
      <c r="AO230" s="11"/>
      <c r="AP230" s="11"/>
    </row>
    <row r="231" spans="1:42" x14ac:dyDescent="0.2">
      <c r="A231" s="1142" t="s">
        <v>1403</v>
      </c>
      <c r="B231" s="1154" t="s">
        <v>835</v>
      </c>
      <c r="C231" s="690"/>
      <c r="D231" s="78"/>
      <c r="E231" s="79"/>
      <c r="F231" s="22"/>
      <c r="AK231" s="11">
        <v>4196</v>
      </c>
      <c r="AL231" s="11">
        <v>4196</v>
      </c>
      <c r="AO231" s="11"/>
      <c r="AP231" s="11"/>
    </row>
    <row r="232" spans="1:42" x14ac:dyDescent="0.2">
      <c r="A232" s="1174" t="s">
        <v>547</v>
      </c>
      <c r="B232" s="95" t="s">
        <v>295</v>
      </c>
      <c r="C232" s="95"/>
      <c r="D232" s="78"/>
      <c r="E232" s="79"/>
      <c r="F232" s="22"/>
      <c r="AK232" s="11">
        <v>147.0414202105263</v>
      </c>
      <c r="AL232" s="11">
        <v>147.0414202105263</v>
      </c>
      <c r="AO232" s="11"/>
      <c r="AP232" s="11"/>
    </row>
    <row r="233" spans="1:42" ht="15" x14ac:dyDescent="0.2">
      <c r="A233" s="1148" t="s">
        <v>1397</v>
      </c>
      <c r="B233" s="1154">
        <v>206031</v>
      </c>
      <c r="C233" s="690"/>
      <c r="D233" s="78"/>
      <c r="E233" s="91"/>
      <c r="F233" s="22"/>
      <c r="AK233" s="11">
        <v>6367.2960000000003</v>
      </c>
      <c r="AL233" s="11">
        <v>6367.2960000000003</v>
      </c>
      <c r="AO233" s="11"/>
      <c r="AP233" s="11"/>
    </row>
    <row r="234" spans="1:42" x14ac:dyDescent="0.2">
      <c r="A234" s="1174" t="s">
        <v>546</v>
      </c>
      <c r="B234" s="95" t="s">
        <v>296</v>
      </c>
      <c r="C234" s="95"/>
      <c r="D234" s="78"/>
      <c r="E234" s="79"/>
      <c r="F234" s="22"/>
      <c r="AK234" s="11">
        <v>1575.0974202105263</v>
      </c>
      <c r="AL234" s="11">
        <v>1575.0974202105263</v>
      </c>
      <c r="AO234" s="11"/>
      <c r="AP234" s="11"/>
    </row>
    <row r="235" spans="1:42" x14ac:dyDescent="0.2">
      <c r="A235" s="96" t="s">
        <v>545</v>
      </c>
      <c r="B235" s="95" t="s">
        <v>294</v>
      </c>
      <c r="C235" s="95"/>
      <c r="D235" s="78"/>
      <c r="E235" s="79"/>
      <c r="F235" s="22"/>
      <c r="AK235" s="11">
        <v>0</v>
      </c>
      <c r="AL235" s="11">
        <v>0</v>
      </c>
      <c r="AO235" s="11"/>
      <c r="AP235" s="11"/>
    </row>
    <row r="236" spans="1:42" x14ac:dyDescent="0.2">
      <c r="A236" s="1143" t="s">
        <v>1398</v>
      </c>
      <c r="B236" s="1154" t="s">
        <v>840</v>
      </c>
      <c r="C236" s="690"/>
      <c r="D236" s="78"/>
      <c r="E236" s="79"/>
      <c r="F236" s="22"/>
      <c r="AK236" s="11">
        <v>1678</v>
      </c>
      <c r="AL236" s="11">
        <v>1678</v>
      </c>
      <c r="AO236" s="11"/>
      <c r="AP236" s="11"/>
    </row>
    <row r="237" spans="1:42" x14ac:dyDescent="0.2">
      <c r="A237" s="96" t="s">
        <v>1371</v>
      </c>
      <c r="B237" s="95" t="s">
        <v>298</v>
      </c>
      <c r="C237" s="95"/>
      <c r="D237" s="78"/>
      <c r="E237" s="79"/>
      <c r="F237" s="22"/>
      <c r="AK237" s="11">
        <v>0</v>
      </c>
      <c r="AL237" s="11">
        <v>0</v>
      </c>
      <c r="AO237" s="11"/>
      <c r="AP237" s="11"/>
    </row>
    <row r="238" spans="1:42" x14ac:dyDescent="0.2">
      <c r="A238" s="1143" t="s">
        <v>1407</v>
      </c>
      <c r="B238" s="1179" t="s">
        <v>844</v>
      </c>
      <c r="C238" s="584"/>
      <c r="D238" s="78"/>
      <c r="E238" s="78"/>
      <c r="F238" s="22"/>
      <c r="AK238" s="11">
        <v>4019</v>
      </c>
      <c r="AL238" s="11">
        <v>4019</v>
      </c>
      <c r="AO238" s="11"/>
      <c r="AP238" s="11"/>
    </row>
    <row r="239" spans="1:42" x14ac:dyDescent="0.2">
      <c r="A239" s="1181" t="s">
        <v>592</v>
      </c>
      <c r="B239" s="1184">
        <v>206043</v>
      </c>
      <c r="C239" s="688"/>
      <c r="D239" s="78"/>
      <c r="E239" s="78"/>
      <c r="F239" s="22"/>
      <c r="AK239" s="11">
        <v>2453.7316134736843</v>
      </c>
      <c r="AL239" s="11">
        <v>2453.7316134736843</v>
      </c>
      <c r="AO239" s="11"/>
      <c r="AP239" s="11"/>
    </row>
    <row r="240" spans="1:42" x14ac:dyDescent="0.2">
      <c r="A240" s="1177" t="s">
        <v>548</v>
      </c>
      <c r="B240" s="95" t="s">
        <v>299</v>
      </c>
      <c r="C240" s="95"/>
      <c r="D240" s="78"/>
      <c r="E240" s="78"/>
      <c r="F240" s="22"/>
      <c r="AK240" s="11">
        <v>0</v>
      </c>
      <c r="AL240" s="11">
        <v>0</v>
      </c>
      <c r="AO240" s="11"/>
      <c r="AP240" s="11"/>
    </row>
    <row r="241" spans="1:42" x14ac:dyDescent="0.2">
      <c r="A241" s="1194" t="s">
        <v>590</v>
      </c>
      <c r="B241" s="1195" t="s">
        <v>292</v>
      </c>
      <c r="C241" s="1195"/>
      <c r="D241" s="63"/>
      <c r="E241" s="63"/>
      <c r="F241" s="22"/>
      <c r="AK241" s="11">
        <v>16879.616000000002</v>
      </c>
      <c r="AL241" s="11">
        <v>16879.616000000002</v>
      </c>
      <c r="AO241" s="11"/>
      <c r="AP241" s="11"/>
    </row>
    <row r="242" spans="1:42" x14ac:dyDescent="0.2">
      <c r="A242" s="685" t="s">
        <v>1414</v>
      </c>
      <c r="B242" s="1187" t="s">
        <v>1399</v>
      </c>
      <c r="C242" s="694"/>
      <c r="D242" s="1215"/>
      <c r="E242" s="63"/>
      <c r="F242" s="22"/>
      <c r="AK242" s="11">
        <v>1678</v>
      </c>
      <c r="AL242" s="11">
        <v>1678</v>
      </c>
      <c r="AO242" s="11"/>
      <c r="AP242" s="11"/>
    </row>
    <row r="243" spans="1:42" x14ac:dyDescent="0.2">
      <c r="A243" s="1196" t="s">
        <v>593</v>
      </c>
      <c r="B243" s="1197" t="s">
        <v>297</v>
      </c>
      <c r="C243" s="1197"/>
      <c r="D243" s="78"/>
      <c r="E243" s="78"/>
      <c r="F243" s="22"/>
      <c r="AK243" s="11">
        <v>0</v>
      </c>
      <c r="AL243" s="11">
        <v>0</v>
      </c>
      <c r="AO243" s="11"/>
      <c r="AP243" s="11"/>
    </row>
    <row r="244" spans="1:42" x14ac:dyDescent="0.2">
      <c r="A244" s="1143" t="s">
        <v>1406</v>
      </c>
      <c r="B244" s="1154">
        <v>206067</v>
      </c>
      <c r="C244" s="690"/>
      <c r="D244" s="63"/>
      <c r="E244" s="63"/>
      <c r="F244" s="22"/>
      <c r="AK244" s="11">
        <v>2171.2959999999998</v>
      </c>
      <c r="AL244" s="11">
        <v>2171.2959999999998</v>
      </c>
      <c r="AO244" s="11"/>
      <c r="AP244" s="11"/>
    </row>
    <row r="245" spans="1:42" ht="15" x14ac:dyDescent="0.2">
      <c r="A245" s="1177" t="s">
        <v>549</v>
      </c>
      <c r="B245" s="97" t="s">
        <v>300</v>
      </c>
      <c r="C245" s="97"/>
      <c r="D245" s="63"/>
      <c r="E245" s="63"/>
      <c r="F245" s="22"/>
      <c r="AK245" s="11">
        <v>11191.768970736843</v>
      </c>
      <c r="AL245" s="11">
        <v>11191.768970736843</v>
      </c>
      <c r="AO245" s="11"/>
      <c r="AP245" s="11"/>
    </row>
    <row r="246" spans="1:42" x14ac:dyDescent="0.2">
      <c r="A246" s="1190" t="s">
        <v>1400</v>
      </c>
      <c r="B246" s="1191" t="s">
        <v>290</v>
      </c>
      <c r="C246" s="1191"/>
      <c r="D246" s="63"/>
      <c r="E246" s="63"/>
      <c r="F246" s="22"/>
      <c r="AK246" s="11">
        <v>36.648000000000003</v>
      </c>
      <c r="AL246" s="11">
        <v>36.648000000000003</v>
      </c>
      <c r="AO246" s="11"/>
      <c r="AP246" s="11"/>
    </row>
    <row r="247" spans="1:42" x14ac:dyDescent="0.2">
      <c r="A247" s="1198" t="s">
        <v>550</v>
      </c>
      <c r="B247" s="98" t="s">
        <v>301</v>
      </c>
      <c r="C247" s="98"/>
      <c r="D247" s="63"/>
      <c r="E247" s="63"/>
      <c r="F247" s="22"/>
      <c r="AK247" s="11">
        <v>662</v>
      </c>
      <c r="AL247" s="11">
        <v>662</v>
      </c>
      <c r="AO247" s="11"/>
      <c r="AP247" s="11"/>
    </row>
    <row r="248" spans="1:42" x14ac:dyDescent="0.2">
      <c r="A248" s="1147" t="s">
        <v>1404</v>
      </c>
      <c r="B248" s="1209" t="s">
        <v>854</v>
      </c>
      <c r="C248" s="712"/>
      <c r="D248" s="63"/>
      <c r="E248" s="63"/>
      <c r="F248" s="22"/>
      <c r="AK248" s="11">
        <v>4858</v>
      </c>
      <c r="AL248" s="11">
        <v>4858</v>
      </c>
      <c r="AO248" s="11"/>
      <c r="AP248" s="11"/>
    </row>
    <row r="249" spans="1:42" x14ac:dyDescent="0.2">
      <c r="A249" s="456" t="s">
        <v>595</v>
      </c>
      <c r="B249" s="1176" t="s">
        <v>285</v>
      </c>
      <c r="C249" s="1176"/>
      <c r="D249" s="63"/>
      <c r="E249" s="63"/>
      <c r="F249" s="22"/>
      <c r="AK249" s="11">
        <v>6606.6480000000001</v>
      </c>
      <c r="AL249" s="11">
        <v>6606.6480000000001</v>
      </c>
      <c r="AO249" s="11"/>
      <c r="AP249" s="11"/>
    </row>
    <row r="250" spans="1:42" x14ac:dyDescent="0.2">
      <c r="A250" s="1147" t="s">
        <v>1405</v>
      </c>
      <c r="B250" s="1209" t="s">
        <v>856</v>
      </c>
      <c r="C250" s="712"/>
      <c r="D250" s="63"/>
      <c r="E250" s="63"/>
      <c r="F250" s="22"/>
      <c r="AK250" s="11">
        <v>1208.5391999999999</v>
      </c>
      <c r="AL250" s="11">
        <v>1208.5391999999999</v>
      </c>
      <c r="AO250" s="11"/>
      <c r="AP250" s="11"/>
    </row>
    <row r="251" spans="1:42" ht="25.5" x14ac:dyDescent="0.2">
      <c r="A251" s="87" t="s">
        <v>302</v>
      </c>
      <c r="B251" s="88" t="s">
        <v>303</v>
      </c>
      <c r="C251" s="88"/>
      <c r="D251" s="63"/>
      <c r="E251" s="63"/>
      <c r="F251" s="22"/>
      <c r="AK251" s="11">
        <v>88143.322295052625</v>
      </c>
      <c r="AL251" s="11">
        <v>88143.322295052625</v>
      </c>
      <c r="AO251" s="11"/>
      <c r="AP251" s="11"/>
    </row>
    <row r="252" spans="1:42" x14ac:dyDescent="0.2">
      <c r="A252" s="79" t="s">
        <v>304</v>
      </c>
      <c r="B252" s="79" t="s">
        <v>306</v>
      </c>
      <c r="C252" s="79"/>
      <c r="D252" s="63"/>
      <c r="E252" s="63"/>
      <c r="F252" s="22"/>
      <c r="AK252" s="11">
        <v>956.25722842105279</v>
      </c>
      <c r="AL252" s="11">
        <v>956.25722842105279</v>
      </c>
      <c r="AO252" s="11"/>
      <c r="AP252" s="11"/>
    </row>
    <row r="253" spans="1:42" x14ac:dyDescent="0.2">
      <c r="A253" s="1144" t="s">
        <v>858</v>
      </c>
      <c r="B253" s="1169" t="s">
        <v>859</v>
      </c>
      <c r="C253" s="667"/>
      <c r="D253" s="63"/>
      <c r="E253" s="63"/>
      <c r="F253" s="22"/>
      <c r="AK253" s="11">
        <v>65999.672399999996</v>
      </c>
      <c r="AL253" s="11">
        <v>65999.672399999996</v>
      </c>
      <c r="AO253" s="11"/>
      <c r="AP253" s="11"/>
    </row>
    <row r="254" spans="1:42" x14ac:dyDescent="0.2">
      <c r="A254" s="1158" t="s">
        <v>111</v>
      </c>
      <c r="B254" s="94">
        <v>4178</v>
      </c>
      <c r="C254" s="94"/>
      <c r="D254" s="63"/>
      <c r="E254" s="63"/>
      <c r="F254" s="22"/>
      <c r="AL254" s="11"/>
      <c r="AO254" s="11"/>
      <c r="AP254" s="11"/>
    </row>
    <row r="255" spans="1:42" x14ac:dyDescent="0.2">
      <c r="A255" s="1158" t="s">
        <v>98</v>
      </c>
      <c r="B255" s="94">
        <v>3158</v>
      </c>
      <c r="C255" s="94"/>
      <c r="D255" s="63"/>
      <c r="E255" s="63"/>
      <c r="F255" s="22"/>
      <c r="AL255" s="11"/>
      <c r="AO255" s="11"/>
      <c r="AP255" s="11"/>
    </row>
    <row r="256" spans="1:42" x14ac:dyDescent="0.2">
      <c r="A256" s="79" t="s">
        <v>32</v>
      </c>
      <c r="B256" s="79">
        <v>2619</v>
      </c>
      <c r="C256" s="79"/>
      <c r="D256" s="63"/>
      <c r="E256" s="63"/>
      <c r="F256" s="22"/>
      <c r="AL256" s="11"/>
      <c r="AO256" s="11"/>
      <c r="AP256" s="11"/>
    </row>
    <row r="257" spans="1:42" x14ac:dyDescent="0.2">
      <c r="A257" s="1141" t="s">
        <v>860</v>
      </c>
      <c r="B257" s="1154" t="s">
        <v>861</v>
      </c>
      <c r="C257" s="690"/>
      <c r="D257" s="63"/>
      <c r="E257" s="63"/>
      <c r="F257" s="22"/>
      <c r="AK257" s="11">
        <v>659.66399999999999</v>
      </c>
      <c r="AL257" s="11">
        <v>659.66399999999999</v>
      </c>
      <c r="AO257" s="11"/>
      <c r="AP257" s="11"/>
    </row>
    <row r="258" spans="1:42" x14ac:dyDescent="0.2">
      <c r="A258" s="79" t="s">
        <v>307</v>
      </c>
      <c r="B258" s="80" t="s">
        <v>308</v>
      </c>
      <c r="C258" s="80"/>
      <c r="D258" s="63"/>
      <c r="E258" s="63"/>
      <c r="F258" s="22"/>
      <c r="AK258" s="11">
        <v>103638.25197637895</v>
      </c>
      <c r="AL258" s="11">
        <v>103638.25197637895</v>
      </c>
      <c r="AO258" s="11"/>
      <c r="AP258" s="11"/>
    </row>
    <row r="259" spans="1:42" x14ac:dyDescent="0.2">
      <c r="A259" s="79" t="s">
        <v>309</v>
      </c>
      <c r="B259" s="79">
        <v>258417</v>
      </c>
      <c r="C259" s="79"/>
      <c r="D259" s="78"/>
      <c r="E259" s="78"/>
      <c r="F259" s="22"/>
      <c r="AK259" s="11">
        <v>2568.6984399157895</v>
      </c>
      <c r="AL259" s="11">
        <v>2568.6984399157895</v>
      </c>
      <c r="AO259" s="11"/>
      <c r="AP259" s="11"/>
    </row>
    <row r="260" spans="1:42" x14ac:dyDescent="0.2">
      <c r="A260" s="79" t="s">
        <v>311</v>
      </c>
      <c r="B260" s="79" t="s">
        <v>313</v>
      </c>
      <c r="C260" s="79"/>
      <c r="D260" s="63"/>
      <c r="E260" s="63"/>
      <c r="F260" s="22"/>
      <c r="AK260" s="11">
        <v>42373.870688252631</v>
      </c>
      <c r="AL260" s="11">
        <v>42373.870688252631</v>
      </c>
      <c r="AO260" s="11"/>
      <c r="AP260" s="11"/>
    </row>
    <row r="261" spans="1:42" x14ac:dyDescent="0.2">
      <c r="A261" s="79" t="s">
        <v>314</v>
      </c>
      <c r="B261" s="79" t="s">
        <v>316</v>
      </c>
      <c r="C261" s="79"/>
      <c r="F261" s="22"/>
      <c r="AK261" s="11">
        <v>56100.570463199998</v>
      </c>
      <c r="AL261" s="11">
        <v>56100.570463199998</v>
      </c>
      <c r="AO261" s="11"/>
      <c r="AP261" s="11"/>
    </row>
    <row r="262" spans="1:42" x14ac:dyDescent="0.2">
      <c r="A262" s="79" t="s">
        <v>33</v>
      </c>
      <c r="B262" s="79">
        <v>2518</v>
      </c>
      <c r="C262" s="79"/>
      <c r="F262" s="22"/>
      <c r="AL262" s="11"/>
      <c r="AO262" s="11"/>
      <c r="AP262" s="11"/>
    </row>
    <row r="263" spans="1:42" x14ac:dyDescent="0.2">
      <c r="A263" s="1141" t="s">
        <v>862</v>
      </c>
      <c r="B263" s="1210" t="s">
        <v>863</v>
      </c>
      <c r="C263" s="715"/>
      <c r="F263" s="22"/>
      <c r="AK263" s="11">
        <v>2177.404</v>
      </c>
      <c r="AL263" s="11">
        <v>2177.404</v>
      </c>
      <c r="AO263" s="11"/>
      <c r="AP263" s="11"/>
    </row>
    <row r="264" spans="1:42" x14ac:dyDescent="0.2">
      <c r="A264" s="79" t="s">
        <v>317</v>
      </c>
      <c r="B264" s="79">
        <v>206106</v>
      </c>
      <c r="C264" s="79"/>
      <c r="F264" s="22"/>
      <c r="AK264" s="11">
        <v>23249.308850736841</v>
      </c>
      <c r="AL264" s="11">
        <v>23249.308850736841</v>
      </c>
      <c r="AO264" s="11"/>
      <c r="AP264" s="11"/>
    </row>
    <row r="265" spans="1:42" x14ac:dyDescent="0.2">
      <c r="A265" s="80" t="s">
        <v>319</v>
      </c>
      <c r="B265" s="80" t="s">
        <v>320</v>
      </c>
      <c r="C265" s="80"/>
      <c r="F265" s="22"/>
      <c r="AK265" s="11">
        <v>92113.969460042106</v>
      </c>
      <c r="AL265" s="11">
        <v>92113.969460042106</v>
      </c>
      <c r="AO265" s="11"/>
      <c r="AP265" s="11"/>
    </row>
    <row r="266" spans="1:42" x14ac:dyDescent="0.2">
      <c r="A266" s="1144" t="s">
        <v>864</v>
      </c>
      <c r="B266" s="1169" t="s">
        <v>865</v>
      </c>
      <c r="C266" s="667"/>
      <c r="F266" s="22"/>
      <c r="AK266" s="11">
        <v>16608.583999999999</v>
      </c>
      <c r="AL266" s="11">
        <v>16608.583999999999</v>
      </c>
      <c r="AO266" s="11"/>
      <c r="AP266" s="11"/>
    </row>
    <row r="267" spans="1:42" x14ac:dyDescent="0.2">
      <c r="A267" s="1158" t="s">
        <v>34</v>
      </c>
      <c r="B267" s="94">
        <v>2457</v>
      </c>
      <c r="C267" s="94"/>
      <c r="F267" s="22"/>
      <c r="AL267" s="11"/>
      <c r="AO267" s="11"/>
      <c r="AP267" s="11"/>
    </row>
    <row r="268" spans="1:42" x14ac:dyDescent="0.2">
      <c r="A268" s="1158" t="s">
        <v>99</v>
      </c>
      <c r="B268" s="79">
        <v>2010</v>
      </c>
      <c r="C268" s="79"/>
      <c r="F268" s="22"/>
      <c r="AL268" s="11"/>
      <c r="AO268" s="11"/>
      <c r="AP268" s="11"/>
    </row>
    <row r="269" spans="1:42" x14ac:dyDescent="0.2">
      <c r="A269" s="79" t="s">
        <v>35</v>
      </c>
      <c r="B269" s="79">
        <v>2002</v>
      </c>
      <c r="C269" s="79"/>
      <c r="F269" s="22"/>
      <c r="AL269" s="11"/>
      <c r="AO269" s="11"/>
      <c r="AP269" s="11"/>
    </row>
    <row r="270" spans="1:42" x14ac:dyDescent="0.2">
      <c r="A270" s="79" t="s">
        <v>36</v>
      </c>
      <c r="B270" s="79">
        <v>3544</v>
      </c>
      <c r="C270" s="79"/>
      <c r="F270" s="22"/>
      <c r="AL270" s="11"/>
      <c r="AO270" s="11"/>
      <c r="AP270" s="11"/>
    </row>
    <row r="271" spans="1:42" x14ac:dyDescent="0.2">
      <c r="A271" s="79" t="s">
        <v>5</v>
      </c>
      <c r="B271" s="79">
        <v>1008</v>
      </c>
      <c r="C271" s="79"/>
      <c r="F271" s="22"/>
      <c r="AL271" s="11"/>
      <c r="AO271" s="11"/>
      <c r="AP271" s="11"/>
    </row>
    <row r="272" spans="1:42" x14ac:dyDescent="0.2">
      <c r="A272" s="79" t="s">
        <v>321</v>
      </c>
      <c r="B272" s="79" t="s">
        <v>322</v>
      </c>
      <c r="C272" s="79"/>
      <c r="F272" s="22"/>
      <c r="AK272" s="11">
        <v>23191.351226947369</v>
      </c>
      <c r="AL272" s="11">
        <v>23191.351226947369</v>
      </c>
      <c r="AO272" s="11"/>
      <c r="AP272" s="11"/>
    </row>
    <row r="273" spans="1:42" x14ac:dyDescent="0.2">
      <c r="A273" s="79" t="s">
        <v>100</v>
      </c>
      <c r="B273" s="79">
        <v>2006</v>
      </c>
      <c r="C273" s="79"/>
      <c r="F273" s="22"/>
      <c r="AL273" s="11"/>
      <c r="AO273" s="11"/>
      <c r="AP273" s="11"/>
    </row>
    <row r="274" spans="1:42" x14ac:dyDescent="0.2">
      <c r="A274" s="80" t="s">
        <v>323</v>
      </c>
      <c r="B274" s="80" t="s">
        <v>324</v>
      </c>
      <c r="C274" s="80"/>
      <c r="F274" s="22"/>
      <c r="AK274" s="11">
        <v>78176.226500042103</v>
      </c>
      <c r="AL274" s="11">
        <v>78176.226500042103</v>
      </c>
      <c r="AO274" s="11"/>
      <c r="AP274" s="11"/>
    </row>
    <row r="275" spans="1:42" x14ac:dyDescent="0.2">
      <c r="A275" s="79" t="s">
        <v>325</v>
      </c>
      <c r="B275" s="79">
        <v>206133</v>
      </c>
      <c r="C275" s="79"/>
      <c r="F275" s="22"/>
      <c r="AK275" s="11">
        <v>0</v>
      </c>
      <c r="AL275" s="11">
        <v>0</v>
      </c>
      <c r="AO275" s="11"/>
      <c r="AP275" s="11"/>
    </row>
    <row r="276" spans="1:42" x14ac:dyDescent="0.2">
      <c r="A276" s="1149" t="s">
        <v>867</v>
      </c>
      <c r="B276" s="1169" t="s">
        <v>868</v>
      </c>
      <c r="C276" s="667"/>
      <c r="F276" s="22"/>
      <c r="AK276" s="11">
        <v>47615.2552</v>
      </c>
      <c r="AL276" s="11">
        <v>47615.2552</v>
      </c>
      <c r="AO276" s="11"/>
      <c r="AP276" s="11"/>
    </row>
    <row r="277" spans="1:42" x14ac:dyDescent="0.2">
      <c r="A277" s="79" t="s">
        <v>327</v>
      </c>
      <c r="B277" s="79" t="s">
        <v>329</v>
      </c>
      <c r="C277" s="79"/>
      <c r="F277" s="22"/>
      <c r="AK277" s="11">
        <v>0</v>
      </c>
      <c r="AL277" s="11">
        <v>0</v>
      </c>
      <c r="AO277" s="11"/>
      <c r="AP277" s="11"/>
    </row>
    <row r="278" spans="1:42" x14ac:dyDescent="0.2">
      <c r="A278" s="79" t="s">
        <v>330</v>
      </c>
      <c r="B278" s="79">
        <v>206134</v>
      </c>
      <c r="C278" s="79"/>
      <c r="F278" s="22"/>
      <c r="AK278" s="11">
        <v>71611.902713726318</v>
      </c>
      <c r="AL278" s="11">
        <v>71611.902713726318</v>
      </c>
      <c r="AO278" s="11"/>
      <c r="AP278" s="11"/>
    </row>
    <row r="279" spans="1:42" x14ac:dyDescent="0.2">
      <c r="A279" s="79" t="s">
        <v>334</v>
      </c>
      <c r="B279" s="79" t="s">
        <v>335</v>
      </c>
      <c r="C279" s="79"/>
      <c r="F279" s="22"/>
      <c r="AK279" s="11">
        <v>86817.035601221054</v>
      </c>
      <c r="AL279" s="11">
        <v>86817.035601221054</v>
      </c>
      <c r="AO279" s="11"/>
      <c r="AP279" s="11"/>
    </row>
    <row r="280" spans="1:42" x14ac:dyDescent="0.2">
      <c r="A280" s="1199" t="s">
        <v>332</v>
      </c>
      <c r="B280" s="1200" t="s">
        <v>333</v>
      </c>
      <c r="C280" s="1200"/>
      <c r="F280" s="22"/>
      <c r="AK280" s="11">
        <v>90654.121534357895</v>
      </c>
      <c r="AL280" s="11">
        <v>90654.121534357895</v>
      </c>
      <c r="AO280" s="11"/>
      <c r="AP280" s="11"/>
    </row>
    <row r="281" spans="1:42" x14ac:dyDescent="0.2">
      <c r="A281" s="79" t="s">
        <v>336</v>
      </c>
      <c r="B281" s="79" t="s">
        <v>337</v>
      </c>
      <c r="C281" s="79"/>
      <c r="F281" s="22"/>
      <c r="AK281" s="11">
        <v>52141.549504589471</v>
      </c>
      <c r="AL281" s="11">
        <v>52141.549504589471</v>
      </c>
      <c r="AO281" s="11"/>
      <c r="AP281" s="11"/>
    </row>
    <row r="282" spans="1:42" x14ac:dyDescent="0.2">
      <c r="A282" s="79" t="s">
        <v>338</v>
      </c>
      <c r="B282" s="79">
        <v>206109</v>
      </c>
      <c r="C282" s="79"/>
      <c r="F282" s="22"/>
      <c r="AK282" s="11">
        <v>110062.34602261052</v>
      </c>
      <c r="AL282" s="11">
        <v>110062.34602261052</v>
      </c>
      <c r="AO282" s="11"/>
      <c r="AP282" s="11"/>
    </row>
    <row r="283" spans="1:42" x14ac:dyDescent="0.2">
      <c r="A283" s="79" t="s">
        <v>37</v>
      </c>
      <c r="B283" s="79">
        <v>2434</v>
      </c>
      <c r="C283" s="79"/>
      <c r="F283" s="22"/>
      <c r="AL283" s="11"/>
      <c r="AO283" s="11"/>
      <c r="AP283" s="11"/>
    </row>
    <row r="284" spans="1:42" x14ac:dyDescent="0.2">
      <c r="A284" s="1161" t="s">
        <v>597</v>
      </c>
      <c r="B284" s="147">
        <v>6905</v>
      </c>
      <c r="C284" s="147"/>
      <c r="F284" s="22"/>
      <c r="AK284" s="11">
        <v>0</v>
      </c>
      <c r="AL284" s="11">
        <v>0</v>
      </c>
      <c r="AO284" s="11"/>
      <c r="AP284" s="11"/>
    </row>
    <row r="285" spans="1:42" x14ac:dyDescent="0.2">
      <c r="A285" s="1158" t="s">
        <v>42</v>
      </c>
      <c r="B285" s="94">
        <v>2009</v>
      </c>
      <c r="C285" s="94"/>
      <c r="F285" s="22"/>
      <c r="AL285" s="11"/>
      <c r="AO285" s="11"/>
      <c r="AP285" s="11"/>
    </row>
    <row r="286" spans="1:42" x14ac:dyDescent="0.2">
      <c r="A286" s="1158" t="s">
        <v>38</v>
      </c>
      <c r="B286" s="94">
        <v>2522</v>
      </c>
      <c r="C286" s="94"/>
      <c r="F286" s="22"/>
      <c r="AL286" s="11"/>
      <c r="AO286" s="11"/>
      <c r="AP286" s="11"/>
    </row>
    <row r="287" spans="1:42" x14ac:dyDescent="0.2">
      <c r="A287" s="79" t="s">
        <v>340</v>
      </c>
      <c r="B287" s="79">
        <v>206110</v>
      </c>
      <c r="C287" s="79"/>
      <c r="F287" s="22"/>
      <c r="AK287" s="11">
        <v>53321.254136210526</v>
      </c>
      <c r="AL287" s="11">
        <v>53321.254136210526</v>
      </c>
      <c r="AO287" s="11"/>
      <c r="AP287" s="11"/>
    </row>
    <row r="288" spans="1:42" x14ac:dyDescent="0.2">
      <c r="A288" s="79" t="s">
        <v>342</v>
      </c>
      <c r="B288" s="79">
        <v>206135</v>
      </c>
      <c r="C288" s="79"/>
      <c r="F288" s="22"/>
      <c r="AK288" s="11">
        <v>52738.740155073683</v>
      </c>
      <c r="AL288" s="11">
        <v>52738.740155073683</v>
      </c>
      <c r="AO288" s="11"/>
      <c r="AP288" s="11"/>
    </row>
    <row r="289" spans="1:42" x14ac:dyDescent="0.2">
      <c r="A289" s="1158" t="s">
        <v>69</v>
      </c>
      <c r="B289" s="94">
        <v>4181</v>
      </c>
      <c r="C289" s="94"/>
      <c r="F289" s="22"/>
      <c r="AL289" s="11"/>
      <c r="AO289" s="11"/>
      <c r="AP289" s="11"/>
    </row>
    <row r="290" spans="1:42" x14ac:dyDescent="0.2">
      <c r="A290" s="79" t="s">
        <v>344</v>
      </c>
      <c r="B290" s="79">
        <v>509195</v>
      </c>
      <c r="C290" s="79"/>
      <c r="F290" s="22"/>
      <c r="AK290" s="11">
        <v>21131.733993010526</v>
      </c>
      <c r="AL290" s="11">
        <v>21131.733993010526</v>
      </c>
      <c r="AO290" s="11"/>
      <c r="AP290" s="11"/>
    </row>
    <row r="291" spans="1:42" x14ac:dyDescent="0.2">
      <c r="A291" s="87" t="s">
        <v>346</v>
      </c>
      <c r="B291" s="88" t="s">
        <v>347</v>
      </c>
      <c r="C291" s="88"/>
      <c r="F291" s="22"/>
      <c r="AK291" s="11">
        <v>0</v>
      </c>
      <c r="AL291" s="11">
        <v>0</v>
      </c>
      <c r="AO291" s="11"/>
      <c r="AP291" s="11"/>
    </row>
    <row r="292" spans="1:42" x14ac:dyDescent="0.2">
      <c r="A292" s="1201" t="s">
        <v>348</v>
      </c>
      <c r="B292" s="1202" t="s">
        <v>349</v>
      </c>
      <c r="C292" s="1202"/>
      <c r="F292" s="22"/>
      <c r="AK292" s="11">
        <v>17566.882774526315</v>
      </c>
      <c r="AL292" s="11">
        <v>17566.882774526315</v>
      </c>
      <c r="AO292" s="11"/>
      <c r="AP292" s="11"/>
    </row>
    <row r="293" spans="1:42" x14ac:dyDescent="0.2">
      <c r="A293" s="79" t="s">
        <v>350</v>
      </c>
      <c r="B293" s="79" t="s">
        <v>352</v>
      </c>
      <c r="C293" s="79"/>
      <c r="F293" s="22"/>
      <c r="AK293" s="11">
        <v>47314.134082315788</v>
      </c>
      <c r="AL293" s="11">
        <v>47314.134082315788</v>
      </c>
      <c r="AO293" s="11"/>
      <c r="AP293" s="11"/>
    </row>
    <row r="294" spans="1:42" x14ac:dyDescent="0.2">
      <c r="A294" s="79" t="s">
        <v>353</v>
      </c>
      <c r="B294" s="79">
        <v>509199</v>
      </c>
      <c r="C294" s="79"/>
      <c r="F294" s="22"/>
      <c r="AK294" s="11">
        <v>46210.402594526313</v>
      </c>
      <c r="AL294" s="11">
        <v>46210.402594526313</v>
      </c>
      <c r="AO294" s="11"/>
      <c r="AP294" s="11"/>
    </row>
    <row r="295" spans="1:42" x14ac:dyDescent="0.2">
      <c r="A295" s="79" t="s">
        <v>355</v>
      </c>
      <c r="B295" s="79">
        <v>509197</v>
      </c>
      <c r="C295" s="79"/>
      <c r="F295" s="22"/>
      <c r="AK295" s="11">
        <v>49328.916413052633</v>
      </c>
      <c r="AL295" s="11">
        <v>49328.916413052633</v>
      </c>
      <c r="AO295" s="11"/>
      <c r="AP295" s="11"/>
    </row>
    <row r="296" spans="1:42" x14ac:dyDescent="0.2">
      <c r="A296" s="1151" t="s">
        <v>870</v>
      </c>
      <c r="B296" s="1211">
        <v>479383</v>
      </c>
      <c r="C296" s="1152"/>
      <c r="F296" s="22"/>
      <c r="AK296" s="11">
        <v>60839</v>
      </c>
      <c r="AL296" s="11">
        <v>60839</v>
      </c>
      <c r="AO296" s="11"/>
      <c r="AP296" s="11"/>
    </row>
    <row r="297" spans="1:42" ht="38.25" x14ac:dyDescent="0.2">
      <c r="A297" s="1170" t="s">
        <v>360</v>
      </c>
      <c r="B297" s="1168" t="s">
        <v>361</v>
      </c>
      <c r="C297" s="1168"/>
      <c r="F297" s="22"/>
      <c r="AK297" s="11">
        <v>19802.489799999999</v>
      </c>
      <c r="AL297" s="11">
        <v>19802.489799999999</v>
      </c>
      <c r="AO297" s="11"/>
      <c r="AP297" s="11"/>
    </row>
    <row r="298" spans="1:42" x14ac:dyDescent="0.2">
      <c r="A298" s="1158" t="s">
        <v>70</v>
      </c>
      <c r="B298" s="94">
        <v>4182</v>
      </c>
      <c r="C298" s="94"/>
      <c r="F298" s="22"/>
      <c r="AL298" s="11"/>
      <c r="AO298" s="11"/>
      <c r="AP298" s="11"/>
    </row>
    <row r="299" spans="1:42" x14ac:dyDescent="0.2">
      <c r="A299" s="79" t="s">
        <v>357</v>
      </c>
      <c r="B299" s="79" t="s">
        <v>359</v>
      </c>
      <c r="C299" s="79"/>
      <c r="F299" s="22"/>
      <c r="AK299" s="11">
        <v>45047.688800000004</v>
      </c>
      <c r="AL299" s="11">
        <v>45047.688800000004</v>
      </c>
      <c r="AO299" s="11"/>
      <c r="AP299" s="11"/>
    </row>
    <row r="300" spans="1:42" x14ac:dyDescent="0.2">
      <c r="A300" s="79" t="s">
        <v>6</v>
      </c>
      <c r="B300" s="79">
        <v>1005</v>
      </c>
      <c r="C300" s="79"/>
      <c r="F300" s="22"/>
      <c r="AL300" s="11"/>
      <c r="AO300" s="11"/>
      <c r="AP300" s="11"/>
    </row>
    <row r="301" spans="1:42" x14ac:dyDescent="0.2">
      <c r="A301" s="489" t="s">
        <v>871</v>
      </c>
      <c r="B301" s="1179" t="s">
        <v>872</v>
      </c>
      <c r="C301" s="584"/>
      <c r="F301" s="22"/>
      <c r="AK301" s="11">
        <v>403.12799999999999</v>
      </c>
      <c r="AL301" s="11">
        <v>403.12799999999999</v>
      </c>
      <c r="AO301" s="11"/>
      <c r="AP301" s="11"/>
    </row>
    <row r="302" spans="1:42" x14ac:dyDescent="0.2">
      <c r="A302" s="1158" t="s">
        <v>39</v>
      </c>
      <c r="B302" s="94">
        <v>2436</v>
      </c>
      <c r="C302" s="94"/>
      <c r="F302" s="22"/>
      <c r="AL302" s="11"/>
      <c r="AO302" s="11"/>
      <c r="AP302" s="11"/>
    </row>
    <row r="303" spans="1:42" x14ac:dyDescent="0.2">
      <c r="A303" s="79" t="s">
        <v>362</v>
      </c>
      <c r="B303" s="79">
        <v>206117</v>
      </c>
      <c r="C303" s="79"/>
      <c r="F303" s="22"/>
      <c r="AK303" s="11">
        <v>86507.605162526321</v>
      </c>
      <c r="AL303" s="11">
        <v>86507.605162526321</v>
      </c>
      <c r="AO303" s="11"/>
      <c r="AP303" s="11"/>
    </row>
    <row r="304" spans="1:42" x14ac:dyDescent="0.2">
      <c r="A304" s="79" t="s">
        <v>40</v>
      </c>
      <c r="B304" s="79">
        <v>2452</v>
      </c>
      <c r="C304" s="79"/>
      <c r="F304" s="22"/>
      <c r="AL304" s="11"/>
      <c r="AO304" s="11"/>
      <c r="AP304" s="11"/>
    </row>
    <row r="305" spans="1:42" x14ac:dyDescent="0.2">
      <c r="A305" s="1158" t="s">
        <v>71</v>
      </c>
      <c r="B305" s="94">
        <v>4001</v>
      </c>
      <c r="C305" s="94"/>
      <c r="F305" s="22"/>
      <c r="AL305" s="11"/>
      <c r="AO305" s="11"/>
      <c r="AP305" s="11"/>
    </row>
    <row r="306" spans="1:42" x14ac:dyDescent="0.2">
      <c r="A306" s="79" t="s">
        <v>364</v>
      </c>
      <c r="B306" s="79">
        <v>206141</v>
      </c>
      <c r="C306" s="79"/>
      <c r="F306" s="22"/>
      <c r="AK306" s="11">
        <v>60207.664493136843</v>
      </c>
      <c r="AL306" s="11">
        <v>60207.664493136843</v>
      </c>
      <c r="AO306" s="11"/>
      <c r="AP306" s="11"/>
    </row>
    <row r="307" spans="1:42" x14ac:dyDescent="0.2">
      <c r="A307" s="1158" t="s">
        <v>41</v>
      </c>
      <c r="B307" s="94">
        <v>2627</v>
      </c>
      <c r="C307" s="94"/>
      <c r="F307" s="22"/>
      <c r="AL307" s="11"/>
      <c r="AO307" s="11"/>
      <c r="AP307" s="11"/>
    </row>
    <row r="308" spans="1:42" x14ac:dyDescent="0.2">
      <c r="A308" s="1158" t="s">
        <v>112</v>
      </c>
      <c r="B308" s="94">
        <v>5406</v>
      </c>
      <c r="C308" s="94"/>
      <c r="F308" s="22"/>
      <c r="AL308" s="11"/>
      <c r="AO308" s="11"/>
      <c r="AP308" s="11"/>
    </row>
    <row r="309" spans="1:42" x14ac:dyDescent="0.2">
      <c r="A309" s="1158" t="s">
        <v>113</v>
      </c>
      <c r="B309" s="94">
        <v>5407</v>
      </c>
      <c r="C309" s="94"/>
      <c r="F309" s="22"/>
      <c r="AL309" s="11"/>
      <c r="AO309" s="11"/>
      <c r="AP309" s="11"/>
    </row>
    <row r="310" spans="1:42" x14ac:dyDescent="0.2">
      <c r="A310" s="79" t="s">
        <v>366</v>
      </c>
      <c r="B310" s="79" t="s">
        <v>368</v>
      </c>
      <c r="C310" s="79"/>
      <c r="AK310" s="11">
        <v>71663.120623452633</v>
      </c>
      <c r="AL310" s="11">
        <v>71663.120623452633</v>
      </c>
      <c r="AO310" s="11"/>
      <c r="AP310" s="11"/>
    </row>
    <row r="311" spans="1:42" x14ac:dyDescent="0.2">
      <c r="A311" s="79" t="s">
        <v>369</v>
      </c>
      <c r="B311" s="79">
        <v>258404</v>
      </c>
      <c r="C311" s="79"/>
      <c r="AK311" s="11">
        <v>42607.544764547369</v>
      </c>
      <c r="AL311" s="11">
        <v>42607.544764547369</v>
      </c>
      <c r="AO311" s="11"/>
      <c r="AP311" s="11"/>
    </row>
    <row r="312" spans="1:42" x14ac:dyDescent="0.2">
      <c r="A312" s="1158" t="s">
        <v>101</v>
      </c>
      <c r="B312" s="79">
        <v>2473</v>
      </c>
      <c r="C312" s="79"/>
      <c r="AL312" s="11"/>
      <c r="AO312" s="11"/>
      <c r="AP312" s="11"/>
    </row>
    <row r="313" spans="1:42" x14ac:dyDescent="0.2">
      <c r="A313" s="1158" t="s">
        <v>44</v>
      </c>
      <c r="B313" s="94">
        <v>2471</v>
      </c>
      <c r="C313" s="94"/>
      <c r="AL313" s="11"/>
      <c r="AO313" s="11"/>
      <c r="AP313" s="11"/>
    </row>
    <row r="314" spans="1:42" x14ac:dyDescent="0.2">
      <c r="A314" s="79" t="s">
        <v>371</v>
      </c>
      <c r="B314" s="79">
        <v>258405</v>
      </c>
      <c r="C314" s="79"/>
      <c r="AK314" s="11">
        <v>90036.283633473678</v>
      </c>
      <c r="AL314" s="11">
        <v>90036.283633473678</v>
      </c>
      <c r="AO314" s="11"/>
      <c r="AP314" s="11"/>
    </row>
    <row r="315" spans="1:42" x14ac:dyDescent="0.2">
      <c r="A315" s="79" t="s">
        <v>373</v>
      </c>
      <c r="B315" s="79">
        <v>258406</v>
      </c>
      <c r="C315" s="79"/>
      <c r="AK315" s="11">
        <v>112418.53571722105</v>
      </c>
      <c r="AL315" s="11">
        <v>112418.53571722105</v>
      </c>
      <c r="AO315" s="11"/>
      <c r="AP315" s="11"/>
    </row>
    <row r="316" spans="1:42" x14ac:dyDescent="0.2">
      <c r="A316" s="79" t="s">
        <v>43</v>
      </c>
      <c r="B316" s="79">
        <v>2420</v>
      </c>
      <c r="C316" s="79"/>
      <c r="AL316" s="11"/>
      <c r="AO316" s="11"/>
      <c r="AP316" s="11"/>
    </row>
    <row r="317" spans="1:42" x14ac:dyDescent="0.2">
      <c r="A317" s="79" t="s">
        <v>375</v>
      </c>
      <c r="B317" s="79">
        <v>206160</v>
      </c>
      <c r="C317" s="79"/>
      <c r="AK317" s="11">
        <v>11111.496679410526</v>
      </c>
      <c r="AL317" s="11">
        <v>11111.496679410526</v>
      </c>
      <c r="AO317" s="11"/>
      <c r="AP317" s="11"/>
    </row>
    <row r="318" spans="1:42" x14ac:dyDescent="0.2">
      <c r="A318" s="79" t="s">
        <v>45</v>
      </c>
      <c r="B318" s="79">
        <v>2003</v>
      </c>
      <c r="C318" s="79"/>
      <c r="AL318" s="11"/>
      <c r="AO318" s="11"/>
      <c r="AP318" s="11"/>
    </row>
    <row r="319" spans="1:42" x14ac:dyDescent="0.2">
      <c r="A319" s="1158" t="s">
        <v>46</v>
      </c>
      <c r="B319" s="94">
        <v>2423</v>
      </c>
      <c r="C319" s="94"/>
      <c r="AL319" s="11"/>
      <c r="AO319" s="11"/>
      <c r="AP319" s="11"/>
    </row>
    <row r="320" spans="1:42" x14ac:dyDescent="0.2">
      <c r="A320" s="1158" t="s">
        <v>47</v>
      </c>
      <c r="B320" s="94">
        <v>2424</v>
      </c>
      <c r="C320" s="94"/>
      <c r="AL320" s="11"/>
      <c r="AO320" s="11"/>
      <c r="AP320" s="11"/>
    </row>
    <row r="321" spans="1:42" x14ac:dyDescent="0.2">
      <c r="A321" s="79" t="s">
        <v>377</v>
      </c>
      <c r="B321" s="79" t="s">
        <v>379</v>
      </c>
      <c r="C321" s="79"/>
      <c r="AK321" s="11">
        <v>91628.390433389475</v>
      </c>
      <c r="AL321" s="11">
        <v>91628.390433389475</v>
      </c>
      <c r="AO321" s="11"/>
      <c r="AP321" s="11"/>
    </row>
    <row r="322" spans="1:42" x14ac:dyDescent="0.2">
      <c r="A322" s="726" t="s">
        <v>873</v>
      </c>
      <c r="B322" s="1179" t="s">
        <v>874</v>
      </c>
      <c r="C322" s="584"/>
      <c r="AK322" s="11">
        <v>29023.096000000001</v>
      </c>
      <c r="AL322" s="11">
        <v>29023.096000000001</v>
      </c>
      <c r="AO322" s="11"/>
      <c r="AP322" s="11"/>
    </row>
    <row r="323" spans="1:42" x14ac:dyDescent="0.2">
      <c r="A323" s="79" t="s">
        <v>382</v>
      </c>
      <c r="B323" s="79" t="s">
        <v>384</v>
      </c>
      <c r="C323" s="79"/>
      <c r="AK323" s="11">
        <v>0</v>
      </c>
      <c r="AL323" s="11">
        <v>0</v>
      </c>
      <c r="AO323" s="11"/>
      <c r="AP323" s="11"/>
    </row>
    <row r="324" spans="1:42" x14ac:dyDescent="0.2">
      <c r="A324" s="79" t="s">
        <v>385</v>
      </c>
      <c r="B324" s="79">
        <v>206146</v>
      </c>
      <c r="C324" s="79"/>
      <c r="AK324" s="11">
        <v>67376.147254863157</v>
      </c>
      <c r="AL324" s="11">
        <v>67376.147254863157</v>
      </c>
      <c r="AO324" s="11"/>
      <c r="AP324" s="11"/>
    </row>
    <row r="325" spans="1:42" x14ac:dyDescent="0.2">
      <c r="A325" s="1158" t="s">
        <v>48</v>
      </c>
      <c r="B325" s="94">
        <v>2439</v>
      </c>
      <c r="C325" s="94"/>
      <c r="AL325" s="11"/>
      <c r="AO325" s="11"/>
      <c r="AP325" s="11"/>
    </row>
    <row r="326" spans="1:42" x14ac:dyDescent="0.2">
      <c r="A326" s="1158" t="s">
        <v>49</v>
      </c>
      <c r="B326" s="94">
        <v>2440</v>
      </c>
      <c r="C326" s="94"/>
      <c r="AL326" s="11"/>
      <c r="AO326" s="11"/>
      <c r="AP326" s="11"/>
    </row>
    <row r="327" spans="1:42" x14ac:dyDescent="0.2">
      <c r="A327" s="80" t="s">
        <v>387</v>
      </c>
      <c r="B327" s="80" t="s">
        <v>388</v>
      </c>
      <c r="C327" s="80"/>
      <c r="AK327" s="11">
        <v>46225.258949768424</v>
      </c>
      <c r="AL327" s="11">
        <v>46225.258949768424</v>
      </c>
      <c r="AO327" s="11"/>
      <c r="AP327" s="11"/>
    </row>
    <row r="328" spans="1:42" x14ac:dyDescent="0.2">
      <c r="A328" s="1158" t="s">
        <v>102</v>
      </c>
      <c r="B328" s="79">
        <v>2462</v>
      </c>
      <c r="C328" s="79"/>
      <c r="AL328" s="11"/>
      <c r="AO328" s="11"/>
      <c r="AP328" s="11"/>
    </row>
    <row r="329" spans="1:42" x14ac:dyDescent="0.2">
      <c r="A329" s="1158" t="s">
        <v>50</v>
      </c>
      <c r="B329" s="94">
        <v>2463</v>
      </c>
      <c r="C329" s="94"/>
      <c r="AL329" s="11"/>
      <c r="AO329" s="11"/>
      <c r="AP329" s="11"/>
    </row>
    <row r="330" spans="1:42" x14ac:dyDescent="0.2">
      <c r="A330" s="79" t="s">
        <v>51</v>
      </c>
      <c r="B330" s="79">
        <v>2505</v>
      </c>
      <c r="C330" s="79"/>
      <c r="AL330" s="11"/>
      <c r="AO330" s="11"/>
      <c r="AP330" s="11"/>
    </row>
    <row r="331" spans="1:42" x14ac:dyDescent="0.2">
      <c r="A331" s="79" t="s">
        <v>52</v>
      </c>
      <c r="B331" s="79">
        <v>2000</v>
      </c>
      <c r="C331" s="79"/>
      <c r="AL331" s="11"/>
      <c r="AO331" s="11"/>
      <c r="AP331" s="11"/>
    </row>
    <row r="332" spans="1:42" x14ac:dyDescent="0.2">
      <c r="A332" s="1158" t="s">
        <v>53</v>
      </c>
      <c r="B332" s="94">
        <v>2458</v>
      </c>
      <c r="C332" s="94"/>
      <c r="AL332" s="11"/>
      <c r="AO332" s="11"/>
      <c r="AP332" s="11"/>
    </row>
    <row r="333" spans="1:42" x14ac:dyDescent="0.2">
      <c r="A333" s="79" t="s">
        <v>392</v>
      </c>
      <c r="B333" s="79" t="s">
        <v>394</v>
      </c>
      <c r="C333" s="79"/>
      <c r="AK333" s="11">
        <v>58736.153099368421</v>
      </c>
      <c r="AL333" s="11">
        <v>58736.153099368421</v>
      </c>
      <c r="AO333" s="11"/>
      <c r="AP333" s="11"/>
    </row>
    <row r="334" spans="1:42" x14ac:dyDescent="0.2">
      <c r="A334" s="79" t="s">
        <v>54</v>
      </c>
      <c r="B334" s="79">
        <v>2001</v>
      </c>
      <c r="C334" s="79"/>
      <c r="AL334" s="11"/>
      <c r="AO334" s="11"/>
      <c r="AP334" s="11"/>
    </row>
    <row r="335" spans="1:42" x14ac:dyDescent="0.2">
      <c r="A335" s="80" t="s">
        <v>395</v>
      </c>
      <c r="B335" s="80" t="s">
        <v>396</v>
      </c>
      <c r="C335" s="80"/>
      <c r="AK335" s="11">
        <v>81167.466682526312</v>
      </c>
      <c r="AL335" s="11">
        <v>81167.466682526312</v>
      </c>
      <c r="AO335" s="11"/>
      <c r="AP335" s="11"/>
    </row>
    <row r="336" spans="1:42" x14ac:dyDescent="0.2">
      <c r="A336" s="79" t="s">
        <v>55</v>
      </c>
      <c r="B336" s="79">
        <v>2429</v>
      </c>
      <c r="C336" s="79"/>
      <c r="AL336" s="11"/>
      <c r="AO336" s="11"/>
      <c r="AP336" s="11"/>
    </row>
    <row r="337" spans="1:42" x14ac:dyDescent="0.2">
      <c r="A337" s="79" t="s">
        <v>397</v>
      </c>
      <c r="B337" s="79">
        <v>113044</v>
      </c>
      <c r="C337" s="79"/>
      <c r="AK337" s="11">
        <v>17334.097039578948</v>
      </c>
      <c r="AL337" s="11">
        <v>17334.097039578948</v>
      </c>
      <c r="AO337" s="11"/>
      <c r="AP337" s="11"/>
    </row>
    <row r="338" spans="1:42" x14ac:dyDescent="0.2">
      <c r="A338" s="79" t="s">
        <v>399</v>
      </c>
      <c r="B338" s="79" t="s">
        <v>401</v>
      </c>
      <c r="C338" s="79"/>
      <c r="AK338" s="11">
        <v>86699.58898795789</v>
      </c>
      <c r="AL338" s="11">
        <v>86699.58898795789</v>
      </c>
      <c r="AO338" s="11"/>
      <c r="AP338" s="11"/>
    </row>
    <row r="339" spans="1:42" x14ac:dyDescent="0.2">
      <c r="A339" s="1158" t="s">
        <v>72</v>
      </c>
      <c r="B339" s="94">
        <v>4607</v>
      </c>
      <c r="C339" s="94"/>
      <c r="AL339" s="11"/>
      <c r="AO339" s="11"/>
      <c r="AP339" s="11"/>
    </row>
    <row r="340" spans="1:42" x14ac:dyDescent="0.2">
      <c r="A340" s="665" t="s">
        <v>881</v>
      </c>
      <c r="B340" s="1169" t="s">
        <v>882</v>
      </c>
      <c r="C340" s="667"/>
      <c r="AK340" s="11">
        <v>31689</v>
      </c>
      <c r="AL340" s="11">
        <v>31689</v>
      </c>
      <c r="AO340" s="11"/>
      <c r="AP340" s="11"/>
    </row>
    <row r="341" spans="1:42" x14ac:dyDescent="0.2">
      <c r="A341" s="726" t="s">
        <v>883</v>
      </c>
      <c r="B341" s="1154" t="s">
        <v>884</v>
      </c>
      <c r="C341" s="690"/>
      <c r="AK341" s="11">
        <v>13770.7304</v>
      </c>
      <c r="AL341" s="11">
        <v>13770.7304</v>
      </c>
      <c r="AO341" s="11"/>
      <c r="AP341" s="11"/>
    </row>
    <row r="342" spans="1:42" x14ac:dyDescent="0.2">
      <c r="A342" s="79" t="s">
        <v>56</v>
      </c>
      <c r="B342" s="79">
        <v>2444</v>
      </c>
      <c r="C342" s="79"/>
      <c r="AL342" s="11"/>
      <c r="AO342" s="11"/>
      <c r="AP342" s="11"/>
    </row>
    <row r="343" spans="1:42" x14ac:dyDescent="0.2">
      <c r="A343" s="1158" t="s">
        <v>57</v>
      </c>
      <c r="B343" s="94">
        <v>5209</v>
      </c>
      <c r="C343" s="94"/>
      <c r="AL343" s="11"/>
      <c r="AO343" s="11"/>
      <c r="AP343" s="11"/>
    </row>
    <row r="344" spans="1:42" x14ac:dyDescent="0.2">
      <c r="A344" s="79" t="s">
        <v>402</v>
      </c>
      <c r="B344" s="79" t="s">
        <v>404</v>
      </c>
      <c r="C344" s="79"/>
      <c r="AK344" s="11">
        <v>13579.848624673685</v>
      </c>
      <c r="AL344" s="11">
        <v>13579.848624673685</v>
      </c>
      <c r="AO344" s="11"/>
      <c r="AP344" s="11"/>
    </row>
    <row r="345" spans="1:42" x14ac:dyDescent="0.2">
      <c r="A345" s="79" t="s">
        <v>405</v>
      </c>
      <c r="B345" s="79" t="s">
        <v>407</v>
      </c>
      <c r="C345" s="79"/>
      <c r="AK345" s="11">
        <v>76529.536187578953</v>
      </c>
      <c r="AL345" s="11">
        <v>76529.536187578953</v>
      </c>
      <c r="AO345" s="11"/>
      <c r="AP345" s="11"/>
    </row>
    <row r="346" spans="1:42" x14ac:dyDescent="0.2">
      <c r="A346" s="1158" t="s">
        <v>58</v>
      </c>
      <c r="B346" s="94">
        <v>2469</v>
      </c>
      <c r="C346" s="94"/>
      <c r="AL346" s="11"/>
      <c r="AO346" s="11"/>
      <c r="AP346" s="11"/>
    </row>
    <row r="347" spans="1:42" x14ac:dyDescent="0.2">
      <c r="A347" s="79" t="s">
        <v>408</v>
      </c>
      <c r="B347" s="79" t="s">
        <v>410</v>
      </c>
      <c r="C347" s="79"/>
      <c r="AK347" s="11">
        <v>109323.66751149474</v>
      </c>
      <c r="AL347" s="11">
        <v>109323.66751149474</v>
      </c>
      <c r="AO347" s="11"/>
      <c r="AP347" s="11"/>
    </row>
    <row r="348" spans="1:42" x14ac:dyDescent="0.2">
      <c r="A348" s="99" t="s">
        <v>411</v>
      </c>
      <c r="B348" s="99" t="s">
        <v>412</v>
      </c>
      <c r="C348" s="99"/>
      <c r="AK348" s="11">
        <v>66852.986260505262</v>
      </c>
      <c r="AL348" s="11">
        <v>66852.986260505262</v>
      </c>
      <c r="AO348" s="11"/>
      <c r="AP348" s="11"/>
    </row>
    <row r="349" spans="1:42" x14ac:dyDescent="0.2">
      <c r="A349" s="1158" t="s">
        <v>59</v>
      </c>
      <c r="B349" s="94">
        <v>2466</v>
      </c>
      <c r="C349" s="94"/>
      <c r="AL349" s="11"/>
      <c r="AO349" s="11"/>
      <c r="AP349" s="11"/>
    </row>
    <row r="350" spans="1:42" x14ac:dyDescent="0.2">
      <c r="A350" s="79" t="s">
        <v>60</v>
      </c>
      <c r="B350" s="79">
        <v>3543</v>
      </c>
      <c r="C350" s="79"/>
      <c r="AL350" s="11"/>
      <c r="AO350" s="11"/>
      <c r="AP350" s="11"/>
    </row>
    <row r="351" spans="1:42" x14ac:dyDescent="0.2">
      <c r="A351" s="79" t="s">
        <v>413</v>
      </c>
      <c r="B351" s="79">
        <v>206152</v>
      </c>
      <c r="C351" s="79"/>
      <c r="AK351" s="11">
        <v>79890.408914989472</v>
      </c>
      <c r="AL351" s="11">
        <v>79890.408914989472</v>
      </c>
      <c r="AO351" s="11"/>
      <c r="AP351" s="11"/>
    </row>
    <row r="352" spans="1:42" x14ac:dyDescent="0.2">
      <c r="A352" s="79" t="s">
        <v>415</v>
      </c>
      <c r="B352" s="79">
        <v>206153</v>
      </c>
      <c r="C352" s="79"/>
      <c r="AK352" s="11">
        <v>40303.721356084214</v>
      </c>
      <c r="AL352" s="11">
        <v>40303.721356084214</v>
      </c>
      <c r="AO352" s="11"/>
      <c r="AP352" s="11"/>
    </row>
    <row r="353" spans="1:42" x14ac:dyDescent="0.2">
      <c r="A353" s="1158" t="s">
        <v>62</v>
      </c>
      <c r="B353" s="94">
        <v>3531</v>
      </c>
      <c r="C353" s="94"/>
      <c r="AL353" s="11"/>
      <c r="AO353" s="11"/>
      <c r="AP353" s="11"/>
    </row>
    <row r="354" spans="1:42" x14ac:dyDescent="0.2">
      <c r="A354" s="79" t="s">
        <v>63</v>
      </c>
      <c r="B354" s="79">
        <v>3526</v>
      </c>
      <c r="C354" s="79"/>
      <c r="AL354" s="11"/>
      <c r="AO354" s="11"/>
      <c r="AP354" s="11"/>
    </row>
    <row r="355" spans="1:42" x14ac:dyDescent="0.2">
      <c r="A355" s="1158" t="s">
        <v>104</v>
      </c>
      <c r="B355" s="94">
        <v>3535</v>
      </c>
      <c r="C355" s="94"/>
      <c r="AL355" s="11"/>
      <c r="AO355" s="11"/>
      <c r="AP355" s="11"/>
    </row>
    <row r="356" spans="1:42" x14ac:dyDescent="0.2">
      <c r="A356" s="1203" t="s">
        <v>64</v>
      </c>
      <c r="B356" s="94">
        <v>2008</v>
      </c>
      <c r="C356" s="94"/>
      <c r="AL356" s="11"/>
      <c r="AO356" s="11"/>
      <c r="AP356" s="11"/>
    </row>
    <row r="357" spans="1:42" x14ac:dyDescent="0.2">
      <c r="A357" s="1158" t="s">
        <v>105</v>
      </c>
      <c r="B357" s="94">
        <v>3542</v>
      </c>
      <c r="C357" s="94"/>
      <c r="AL357" s="11"/>
      <c r="AO357" s="11"/>
      <c r="AP357" s="11"/>
    </row>
    <row r="358" spans="1:42" ht="38.25" x14ac:dyDescent="0.2">
      <c r="A358" s="90" t="s">
        <v>417</v>
      </c>
      <c r="B358" s="79">
        <v>206154</v>
      </c>
      <c r="C358" s="79"/>
      <c r="AK358" s="11">
        <v>86001.38223587368</v>
      </c>
      <c r="AL358" s="11">
        <v>86001.38223587368</v>
      </c>
      <c r="AO358" s="11"/>
      <c r="AP358" s="11"/>
    </row>
    <row r="359" spans="1:42" x14ac:dyDescent="0.2">
      <c r="A359" s="1158" t="s">
        <v>106</v>
      </c>
      <c r="B359" s="79">
        <v>3528</v>
      </c>
      <c r="C359" s="79"/>
      <c r="AL359" s="11"/>
      <c r="AO359" s="11"/>
      <c r="AP359" s="11"/>
    </row>
    <row r="360" spans="1:42" x14ac:dyDescent="0.2">
      <c r="A360" s="80" t="s">
        <v>419</v>
      </c>
      <c r="B360" s="80" t="s">
        <v>420</v>
      </c>
      <c r="C360" s="80"/>
      <c r="AK360" s="11">
        <v>21431.769066526314</v>
      </c>
      <c r="AL360" s="11">
        <v>21431.769066526314</v>
      </c>
      <c r="AO360" s="11"/>
      <c r="AP360" s="11"/>
    </row>
    <row r="361" spans="1:42" x14ac:dyDescent="0.2">
      <c r="A361" s="1158" t="s">
        <v>107</v>
      </c>
      <c r="B361" s="94">
        <v>3534</v>
      </c>
      <c r="C361" s="94"/>
      <c r="AL361" s="11"/>
      <c r="AO361" s="11"/>
      <c r="AP361" s="11"/>
    </row>
    <row r="362" spans="1:42" x14ac:dyDescent="0.2">
      <c r="A362" s="1158" t="s">
        <v>108</v>
      </c>
      <c r="B362" s="143">
        <v>3532</v>
      </c>
      <c r="C362" s="143"/>
      <c r="AL362" s="11"/>
      <c r="AO362" s="11"/>
      <c r="AP362" s="11"/>
    </row>
    <row r="363" spans="1:42" x14ac:dyDescent="0.2">
      <c r="A363" s="107" t="s">
        <v>7</v>
      </c>
      <c r="B363" s="79">
        <v>1010</v>
      </c>
      <c r="C363" s="79"/>
      <c r="AL363" s="11"/>
      <c r="AO363" s="11"/>
      <c r="AP363" s="11"/>
    </row>
    <row r="364" spans="1:42" x14ac:dyDescent="0.2">
      <c r="A364" s="107" t="s">
        <v>421</v>
      </c>
      <c r="B364" s="79" t="s">
        <v>423</v>
      </c>
      <c r="C364" s="79"/>
      <c r="AK364" s="11">
        <v>113594.85657469474</v>
      </c>
      <c r="AL364" s="11">
        <v>113594.85657469474</v>
      </c>
      <c r="AO364" s="11"/>
      <c r="AP364" s="11"/>
    </row>
    <row r="365" spans="1:42" x14ac:dyDescent="0.2">
      <c r="A365" s="1158" t="s">
        <v>114</v>
      </c>
      <c r="B365" s="94">
        <v>4177</v>
      </c>
      <c r="C365" s="94"/>
      <c r="AL365" s="11"/>
      <c r="AO365" s="11"/>
      <c r="AP365" s="11"/>
    </row>
    <row r="366" spans="1:42" x14ac:dyDescent="0.2">
      <c r="A366" s="79" t="s">
        <v>424</v>
      </c>
      <c r="B366" s="79" t="s">
        <v>426</v>
      </c>
      <c r="C366" s="79"/>
      <c r="AK366" s="11">
        <v>53061.215200589475</v>
      </c>
      <c r="AL366" s="11">
        <v>53061.215200589475</v>
      </c>
      <c r="AO366" s="11"/>
      <c r="AP366" s="11"/>
    </row>
    <row r="367" spans="1:42" x14ac:dyDescent="0.2">
      <c r="A367" s="79" t="s">
        <v>427</v>
      </c>
      <c r="B367" s="79">
        <v>206103</v>
      </c>
      <c r="C367" s="79"/>
      <c r="AK367" s="11">
        <v>74615.969522821048</v>
      </c>
      <c r="AL367" s="11">
        <v>74615.969522821048</v>
      </c>
      <c r="AO367" s="11"/>
      <c r="AP367" s="11"/>
    </row>
    <row r="368" spans="1:42" x14ac:dyDescent="0.2">
      <c r="A368" s="79" t="s">
        <v>428</v>
      </c>
      <c r="B368" s="79" t="s">
        <v>430</v>
      </c>
      <c r="C368" s="79"/>
      <c r="AK368" s="11">
        <v>0</v>
      </c>
      <c r="AL368" s="11">
        <v>0</v>
      </c>
      <c r="AO368" s="11"/>
      <c r="AP368" s="11"/>
    </row>
    <row r="369" spans="1:42" x14ac:dyDescent="0.2">
      <c r="A369" s="79" t="s">
        <v>431</v>
      </c>
      <c r="B369" s="79" t="s">
        <v>433</v>
      </c>
      <c r="C369" s="79"/>
      <c r="AK369" s="11">
        <v>85577.101196000003</v>
      </c>
      <c r="AL369" s="11">
        <v>85577.101196000003</v>
      </c>
      <c r="AO369" s="11"/>
      <c r="AP369" s="11"/>
    </row>
    <row r="370" spans="1:42" x14ac:dyDescent="0.2">
      <c r="A370" s="79" t="s">
        <v>434</v>
      </c>
      <c r="B370" s="79">
        <v>258420</v>
      </c>
      <c r="C370" s="79"/>
      <c r="AK370" s="11">
        <v>49237.866888926314</v>
      </c>
      <c r="AL370" s="11">
        <v>49237.866888926314</v>
      </c>
      <c r="AO370" s="11"/>
      <c r="AP370" s="11"/>
    </row>
    <row r="371" spans="1:42" x14ac:dyDescent="0.2">
      <c r="A371" s="79" t="s">
        <v>436</v>
      </c>
      <c r="B371" s="79">
        <v>258424</v>
      </c>
      <c r="C371" s="79"/>
      <c r="AK371" s="11">
        <v>69995.221680042101</v>
      </c>
      <c r="AL371" s="11">
        <v>69995.221680042101</v>
      </c>
      <c r="AO371" s="11"/>
      <c r="AP371" s="11"/>
    </row>
    <row r="372" spans="1:42" x14ac:dyDescent="0.2">
      <c r="A372" s="79" t="s">
        <v>438</v>
      </c>
      <c r="B372" s="79" t="s">
        <v>439</v>
      </c>
      <c r="C372" s="79"/>
      <c r="AK372" s="11">
        <v>2365.1446315789472</v>
      </c>
      <c r="AL372" s="11">
        <v>2365.1446315789472</v>
      </c>
      <c r="AO372" s="11"/>
      <c r="AP372" s="11"/>
    </row>
    <row r="373" spans="1:42" x14ac:dyDescent="0.2">
      <c r="A373" s="142" t="s">
        <v>65</v>
      </c>
      <c r="B373" s="79">
        <v>3546</v>
      </c>
      <c r="C373" s="79"/>
      <c r="AL373" s="11"/>
      <c r="AO373" s="11"/>
      <c r="AP373" s="11"/>
    </row>
    <row r="374" spans="1:42" x14ac:dyDescent="0.2">
      <c r="A374" s="140" t="s">
        <v>8</v>
      </c>
      <c r="B374" s="79">
        <v>1009</v>
      </c>
      <c r="C374" s="79"/>
      <c r="AL374" s="11"/>
      <c r="AO374" s="11"/>
      <c r="AP374" s="11"/>
    </row>
    <row r="375" spans="1:42" x14ac:dyDescent="0.2">
      <c r="A375" s="142" t="s">
        <v>66</v>
      </c>
      <c r="B375" s="79">
        <v>3530</v>
      </c>
      <c r="C375" s="79"/>
      <c r="AL375" s="11"/>
      <c r="AO375" s="11"/>
      <c r="AP375" s="11"/>
    </row>
    <row r="376" spans="1:42" x14ac:dyDescent="0.2">
      <c r="A376" s="1158" t="s">
        <v>74</v>
      </c>
      <c r="B376" s="94">
        <v>5412</v>
      </c>
      <c r="C376" s="94"/>
      <c r="AL376" s="11"/>
      <c r="AO376" s="11"/>
      <c r="AP376" s="11"/>
    </row>
    <row r="377" spans="1:42" ht="15" x14ac:dyDescent="0.2">
      <c r="A377" s="146" t="s">
        <v>445</v>
      </c>
      <c r="B377" s="146" t="s">
        <v>446</v>
      </c>
      <c r="C377" s="146"/>
      <c r="AK377" s="11">
        <v>110681.31474105263</v>
      </c>
      <c r="AL377" s="11">
        <v>110681.31474105263</v>
      </c>
      <c r="AO377" s="11"/>
      <c r="AP377" s="11"/>
    </row>
    <row r="378" spans="1:42" x14ac:dyDescent="0.2">
      <c r="A378" s="140" t="s">
        <v>440</v>
      </c>
      <c r="B378" s="144" t="s">
        <v>442</v>
      </c>
      <c r="C378" s="144"/>
      <c r="AK378" s="11">
        <v>67301.709663326314</v>
      </c>
      <c r="AL378" s="11">
        <v>67301.709663326314</v>
      </c>
      <c r="AO378" s="11"/>
      <c r="AP378" s="11"/>
    </row>
    <row r="379" spans="1:42" x14ac:dyDescent="0.2">
      <c r="A379" s="79" t="s">
        <v>9</v>
      </c>
      <c r="B379" s="140">
        <v>1015</v>
      </c>
      <c r="C379" s="140"/>
      <c r="AL379" s="11"/>
      <c r="AO379" s="11"/>
      <c r="AP379" s="11"/>
    </row>
    <row r="380" spans="1:42" ht="38.25" x14ac:dyDescent="0.2">
      <c r="A380" s="141" t="s">
        <v>443</v>
      </c>
      <c r="B380" s="145" t="s">
        <v>444</v>
      </c>
      <c r="C380" s="145"/>
      <c r="AK380" s="11">
        <v>130076.83482290526</v>
      </c>
      <c r="AL380" s="11">
        <v>130076.83482290526</v>
      </c>
      <c r="AO380" s="11"/>
      <c r="AP380" s="11"/>
    </row>
    <row r="381" spans="1:42" x14ac:dyDescent="0.2">
      <c r="A381" s="142" t="s">
        <v>447</v>
      </c>
      <c r="B381" s="79">
        <v>509204</v>
      </c>
      <c r="C381" s="79"/>
      <c r="AK381" s="11">
        <v>123399.74491309474</v>
      </c>
      <c r="AL381" s="11">
        <v>123399.74491309474</v>
      </c>
      <c r="AO381" s="11"/>
      <c r="AP381" s="11"/>
    </row>
    <row r="382" spans="1:42" x14ac:dyDescent="0.2">
      <c r="A382" s="1206" t="s">
        <v>67</v>
      </c>
      <c r="B382" s="143">
        <v>2459</v>
      </c>
      <c r="C382" s="143"/>
      <c r="AL382" s="11"/>
      <c r="AO382" s="11"/>
      <c r="AP382" s="11"/>
    </row>
    <row r="383" spans="1:42" x14ac:dyDescent="0.2">
      <c r="A383" s="79" t="s">
        <v>96</v>
      </c>
      <c r="B383" s="79">
        <v>2007</v>
      </c>
      <c r="C383" s="79"/>
      <c r="AL383" s="11"/>
      <c r="AO383" s="11"/>
      <c r="AP383" s="11"/>
    </row>
    <row r="384" spans="1:42" x14ac:dyDescent="0.2">
      <c r="AL384" s="11"/>
      <c r="AO384" s="11"/>
      <c r="AP384" s="11"/>
    </row>
    <row r="385" spans="1:42" x14ac:dyDescent="0.2">
      <c r="AL385" s="11"/>
      <c r="AO385" s="11"/>
      <c r="AP385" s="11"/>
    </row>
    <row r="386" spans="1:42" x14ac:dyDescent="0.2">
      <c r="AL386" s="11"/>
      <c r="AO386" s="11"/>
      <c r="AP386" s="11"/>
    </row>
    <row r="387" spans="1:42" x14ac:dyDescent="0.2">
      <c r="AL387" s="11"/>
      <c r="AO387" s="11"/>
      <c r="AP387" s="11"/>
    </row>
    <row r="388" spans="1:42" x14ac:dyDescent="0.2">
      <c r="AL388" s="11"/>
      <c r="AO388" s="11"/>
      <c r="AP388" s="11"/>
    </row>
    <row r="389" spans="1:42" x14ac:dyDescent="0.2">
      <c r="AL389" s="11"/>
      <c r="AO389" s="11"/>
      <c r="AP389" s="11"/>
    </row>
    <row r="390" spans="1:42" x14ac:dyDescent="0.2">
      <c r="A390" s="30" t="s">
        <v>694</v>
      </c>
      <c r="AK390" s="11">
        <f>SUM(AK141:AK383)</f>
        <v>4702378.4581659148</v>
      </c>
      <c r="AL390" s="11">
        <f>SUM(AL141:AL383)</f>
        <v>4702378.4581659148</v>
      </c>
      <c r="AO390" s="11"/>
      <c r="AP390" s="11"/>
    </row>
    <row r="391" spans="1:42" x14ac:dyDescent="0.2">
      <c r="A391" s="30" t="s">
        <v>1415</v>
      </c>
      <c r="AK391" s="11">
        <v>80000</v>
      </c>
      <c r="AL391" s="11">
        <v>80000</v>
      </c>
      <c r="AO391" s="11"/>
      <c r="AP391" s="11"/>
    </row>
    <row r="392" spans="1:42" x14ac:dyDescent="0.2">
      <c r="AO392" s="11"/>
      <c r="AP392" s="11"/>
    </row>
    <row r="393" spans="1:42" x14ac:dyDescent="0.2">
      <c r="AO393" s="11"/>
      <c r="AP393" s="11"/>
    </row>
  </sheetData>
  <sheetProtection password="EF5C" sheet="1" objects="1" scenarios="1" selectLockedCells="1" selectUnlockedCells="1"/>
  <sortState ref="A129:F309">
    <sortCondition ref="A129:A309"/>
  </sortState>
  <pageMargins left="0.11811023622047245" right="0.11811023622047245" top="0.19685039370078741" bottom="0.19685039370078741" header="0.31496062992125984" footer="0.31496062992125984"/>
  <pageSetup paperSize="9" scale="55" orientation="landscape" r:id="rId1"/>
  <rowBreaks count="1" manualBreakCount="1">
    <brk id="74" max="3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Z495"/>
  <sheetViews>
    <sheetView zoomScale="80" zoomScaleNormal="90" workbookViewId="0">
      <pane xSplit="4" ySplit="5" topLeftCell="E216" activePane="bottomRight" state="frozen"/>
      <selection activeCell="S139" sqref="S139"/>
      <selection pane="topRight" activeCell="S139" sqref="S139"/>
      <selection pane="bottomLeft" activeCell="S139" sqref="S139"/>
      <selection pane="bottomRight" activeCell="BM1" sqref="A1:BM1048576"/>
    </sheetView>
  </sheetViews>
  <sheetFormatPr defaultColWidth="11.140625" defaultRowHeight="12.75" x14ac:dyDescent="0.2"/>
  <cols>
    <col min="1" max="1" width="0" style="491" hidden="1" customWidth="1"/>
    <col min="2" max="2" width="0" style="480" hidden="1" customWidth="1"/>
    <col min="3" max="3" width="0" style="481" hidden="1" customWidth="1"/>
    <col min="4" max="4" width="0" style="480" hidden="1" customWidth="1"/>
    <col min="5" max="9" width="0" style="482" hidden="1" customWidth="1"/>
    <col min="10" max="10" width="0" style="483" hidden="1" customWidth="1"/>
    <col min="11" max="14" width="0" style="482" hidden="1" customWidth="1"/>
    <col min="15" max="15" width="0" style="483" hidden="1" customWidth="1"/>
    <col min="16" max="20" width="0" style="482" hidden="1" customWidth="1"/>
    <col min="21" max="21" width="0" style="483" hidden="1" customWidth="1"/>
    <col min="22" max="26" width="0" style="482" hidden="1" customWidth="1"/>
    <col min="27" max="27" width="0" style="484" hidden="1" customWidth="1"/>
    <col min="28" max="28" width="0" style="480" hidden="1" customWidth="1"/>
    <col min="29" max="29" width="0" style="485" hidden="1" customWidth="1"/>
    <col min="30" max="30" width="0" style="480" hidden="1" customWidth="1"/>
    <col min="31" max="31" width="0" style="485" hidden="1" customWidth="1"/>
    <col min="32" max="32" width="0" style="480" hidden="1" customWidth="1"/>
    <col min="33" max="33" width="0" style="485" hidden="1" customWidth="1"/>
    <col min="34" max="34" width="0" style="480" hidden="1" customWidth="1"/>
    <col min="35" max="36" width="0" style="486" hidden="1" customWidth="1"/>
    <col min="37" max="37" width="0" style="487" hidden="1" customWidth="1"/>
    <col min="38" max="38" width="0" style="480" hidden="1" customWidth="1"/>
    <col min="39" max="42" width="0" style="486" hidden="1" customWidth="1"/>
    <col min="43" max="43" width="0" style="487" hidden="1" customWidth="1"/>
    <col min="44" max="44" width="0" style="480" hidden="1" customWidth="1"/>
    <col min="45" max="45" width="0" style="483" hidden="1" customWidth="1"/>
    <col min="46" max="46" width="0" style="480" hidden="1" customWidth="1"/>
    <col min="47" max="49" width="0" style="488" hidden="1" customWidth="1"/>
    <col min="50" max="50" width="16.85546875" style="488" hidden="1" customWidth="1"/>
    <col min="51" max="51" width="0" style="489" hidden="1" customWidth="1"/>
    <col min="52" max="52" width="0" style="480" hidden="1" customWidth="1"/>
    <col min="53" max="53" width="0" style="490" hidden="1" customWidth="1"/>
    <col min="54" max="65" width="0" style="480" hidden="1" customWidth="1"/>
    <col min="66" max="16384" width="11.140625" style="480"/>
  </cols>
  <sheetData>
    <row r="1" spans="1:60" x14ac:dyDescent="0.2">
      <c r="A1" s="479" t="s">
        <v>710</v>
      </c>
    </row>
    <row r="2" spans="1:60" x14ac:dyDescent="0.2">
      <c r="AC2" s="492" t="s">
        <v>711</v>
      </c>
      <c r="AD2" s="493"/>
      <c r="AE2" s="494"/>
      <c r="AF2" s="493"/>
      <c r="AG2" s="495"/>
    </row>
    <row r="3" spans="1:60" s="496" customFormat="1" x14ac:dyDescent="0.2">
      <c r="A3" s="479" t="s">
        <v>712</v>
      </c>
      <c r="C3" s="497"/>
      <c r="D3" s="498"/>
      <c r="E3" s="499" t="s">
        <v>713</v>
      </c>
      <c r="F3" s="499"/>
      <c r="G3" s="499"/>
      <c r="H3" s="499"/>
      <c r="I3" s="499"/>
      <c r="J3" s="500"/>
      <c r="K3" s="499"/>
      <c r="L3" s="499"/>
      <c r="M3" s="499"/>
      <c r="N3" s="499"/>
      <c r="O3" s="500"/>
      <c r="P3" s="501"/>
      <c r="Q3" s="502" t="s">
        <v>714</v>
      </c>
      <c r="R3" s="502"/>
      <c r="S3" s="502"/>
      <c r="T3" s="502"/>
      <c r="U3" s="503"/>
      <c r="V3" s="501"/>
      <c r="W3" s="502" t="s">
        <v>715</v>
      </c>
      <c r="X3" s="502"/>
      <c r="Y3" s="502"/>
      <c r="Z3" s="502"/>
      <c r="AA3" s="504"/>
      <c r="AB3" s="505"/>
      <c r="AC3" s="506" t="s">
        <v>144</v>
      </c>
      <c r="AD3" s="505"/>
      <c r="AE3" s="506" t="s">
        <v>716</v>
      </c>
      <c r="AF3" s="505"/>
      <c r="AG3" s="506" t="s">
        <v>200</v>
      </c>
      <c r="AH3" s="505"/>
      <c r="AI3" s="507" t="s">
        <v>717</v>
      </c>
      <c r="AJ3" s="507"/>
      <c r="AK3" s="508"/>
      <c r="AL3" s="505"/>
      <c r="AM3" s="507" t="s">
        <v>198</v>
      </c>
      <c r="AN3" s="507"/>
      <c r="AO3" s="507"/>
      <c r="AP3" s="507"/>
      <c r="AQ3" s="508"/>
      <c r="AR3" s="505"/>
      <c r="AS3" s="509" t="s">
        <v>718</v>
      </c>
      <c r="AT3" s="510"/>
      <c r="AU3" s="511"/>
      <c r="AV3" s="511"/>
      <c r="AW3" s="511"/>
      <c r="AX3" s="511"/>
      <c r="AY3" s="512"/>
      <c r="BA3" s="513"/>
    </row>
    <row r="4" spans="1:60" x14ac:dyDescent="0.2">
      <c r="D4" s="514"/>
      <c r="E4" s="515"/>
      <c r="F4" s="515"/>
      <c r="G4" s="515" t="s">
        <v>719</v>
      </c>
      <c r="H4" s="515" t="s">
        <v>719</v>
      </c>
      <c r="I4" s="515"/>
      <c r="J4" s="516"/>
      <c r="K4" s="515"/>
      <c r="L4" s="515"/>
      <c r="M4" s="515"/>
      <c r="N4" s="515"/>
      <c r="O4" s="516"/>
      <c r="P4" s="517"/>
      <c r="Q4" s="515"/>
      <c r="R4" s="515"/>
      <c r="S4" s="515"/>
      <c r="T4" s="515"/>
      <c r="U4" s="516"/>
      <c r="V4" s="517"/>
      <c r="W4" s="515" t="s">
        <v>719</v>
      </c>
      <c r="X4" s="515" t="s">
        <v>719</v>
      </c>
      <c r="Y4" s="515"/>
      <c r="Z4" s="515"/>
      <c r="AA4" s="518"/>
      <c r="AB4" s="519"/>
      <c r="AC4" s="520"/>
      <c r="AD4" s="519"/>
      <c r="AE4" s="520"/>
      <c r="AF4" s="519"/>
      <c r="AG4" s="520"/>
      <c r="AH4" s="519"/>
      <c r="AI4" s="521"/>
      <c r="AJ4" s="521"/>
      <c r="AK4" s="522"/>
      <c r="AL4" s="519"/>
      <c r="AM4" s="515" t="s">
        <v>719</v>
      </c>
      <c r="AN4" s="515" t="s">
        <v>719</v>
      </c>
      <c r="AO4" s="521"/>
      <c r="AP4" s="521"/>
      <c r="AQ4" s="522"/>
      <c r="AR4" s="519"/>
      <c r="AS4" s="516"/>
      <c r="AT4" s="523"/>
    </row>
    <row r="5" spans="1:60" s="536" customFormat="1" ht="51" x14ac:dyDescent="0.2">
      <c r="A5" s="524" t="s">
        <v>720</v>
      </c>
      <c r="B5" s="524" t="s">
        <v>721</v>
      </c>
      <c r="C5" s="525" t="s">
        <v>722</v>
      </c>
      <c r="D5" s="526"/>
      <c r="E5" s="524" t="s">
        <v>723</v>
      </c>
      <c r="F5" s="524" t="s">
        <v>724</v>
      </c>
      <c r="G5" s="527" t="s">
        <v>725</v>
      </c>
      <c r="H5" s="527" t="s">
        <v>726</v>
      </c>
      <c r="I5" s="527" t="s">
        <v>727</v>
      </c>
      <c r="J5" s="528" t="s">
        <v>728</v>
      </c>
      <c r="K5" s="524" t="s">
        <v>729</v>
      </c>
      <c r="L5" s="524" t="s">
        <v>730</v>
      </c>
      <c r="M5" s="524" t="s">
        <v>201</v>
      </c>
      <c r="N5" s="529" t="s">
        <v>731</v>
      </c>
      <c r="O5" s="530" t="s">
        <v>732</v>
      </c>
      <c r="P5" s="526"/>
      <c r="Q5" s="524" t="s">
        <v>733</v>
      </c>
      <c r="R5" s="524" t="s">
        <v>734</v>
      </c>
      <c r="S5" s="524" t="s">
        <v>735</v>
      </c>
      <c r="T5" s="524" t="s">
        <v>736</v>
      </c>
      <c r="U5" s="530" t="s">
        <v>737</v>
      </c>
      <c r="V5" s="526"/>
      <c r="W5" s="524" t="s">
        <v>733</v>
      </c>
      <c r="X5" s="524" t="s">
        <v>734</v>
      </c>
      <c r="Y5" s="524" t="s">
        <v>735</v>
      </c>
      <c r="Z5" s="524" t="s">
        <v>736</v>
      </c>
      <c r="AA5" s="531" t="s">
        <v>738</v>
      </c>
      <c r="AB5" s="526"/>
      <c r="AC5" s="532" t="s">
        <v>739</v>
      </c>
      <c r="AD5" s="526"/>
      <c r="AE5" s="532" t="s">
        <v>740</v>
      </c>
      <c r="AF5" s="526"/>
      <c r="AG5" s="532" t="s">
        <v>741</v>
      </c>
      <c r="AH5" s="526"/>
      <c r="AI5" s="524" t="s">
        <v>742</v>
      </c>
      <c r="AJ5" s="524" t="s">
        <v>743</v>
      </c>
      <c r="AK5" s="530" t="s">
        <v>744</v>
      </c>
      <c r="AL5" s="526"/>
      <c r="AM5" s="524" t="s">
        <v>733</v>
      </c>
      <c r="AN5" s="524" t="s">
        <v>734</v>
      </c>
      <c r="AO5" s="524" t="s">
        <v>735</v>
      </c>
      <c r="AP5" s="524" t="s">
        <v>736</v>
      </c>
      <c r="AQ5" s="530" t="s">
        <v>745</v>
      </c>
      <c r="AR5" s="526"/>
      <c r="AS5" s="530" t="s">
        <v>746</v>
      </c>
      <c r="AT5" s="533"/>
      <c r="AU5" s="534" t="s">
        <v>932</v>
      </c>
      <c r="AV5" s="534" t="s">
        <v>695</v>
      </c>
      <c r="AW5" s="534" t="s">
        <v>931</v>
      </c>
      <c r="AX5" s="534" t="s">
        <v>747</v>
      </c>
      <c r="AY5" s="535"/>
      <c r="BA5" s="537"/>
      <c r="BB5" s="536" t="s">
        <v>748</v>
      </c>
      <c r="BH5" s="536" t="s">
        <v>1422</v>
      </c>
    </row>
    <row r="6" spans="1:60" x14ac:dyDescent="0.2">
      <c r="A6" s="538"/>
      <c r="B6" s="491"/>
      <c r="C6" s="539"/>
      <c r="D6" s="540"/>
      <c r="E6" s="541"/>
      <c r="F6" s="542"/>
      <c r="G6" s="541"/>
      <c r="H6" s="541"/>
      <c r="I6" s="541"/>
      <c r="J6" s="543"/>
      <c r="K6" s="541"/>
      <c r="L6" s="541"/>
      <c r="M6" s="541"/>
      <c r="N6" s="541"/>
      <c r="O6" s="543"/>
      <c r="P6" s="544"/>
      <c r="Q6" s="541"/>
      <c r="R6" s="541"/>
      <c r="S6" s="541"/>
      <c r="T6" s="541"/>
      <c r="U6" s="543"/>
      <c r="V6" s="544"/>
      <c r="W6" s="541"/>
      <c r="X6" s="541"/>
      <c r="Y6" s="541"/>
      <c r="Z6" s="541"/>
      <c r="AA6" s="545"/>
      <c r="AB6" s="540"/>
      <c r="AC6" s="546"/>
      <c r="AD6" s="540"/>
      <c r="AE6" s="547"/>
      <c r="AF6" s="540"/>
      <c r="AG6" s="547"/>
      <c r="AH6" s="540"/>
      <c r="AI6" s="541"/>
      <c r="AJ6" s="541"/>
      <c r="AK6" s="543"/>
      <c r="AL6" s="540"/>
      <c r="AM6" s="541"/>
      <c r="AN6" s="541"/>
      <c r="AO6" s="541"/>
      <c r="AP6" s="541"/>
      <c r="AQ6" s="543"/>
      <c r="AR6" s="540"/>
      <c r="AS6" s="548"/>
      <c r="AT6" s="549"/>
    </row>
    <row r="7" spans="1:60" ht="15" x14ac:dyDescent="0.25">
      <c r="A7" s="538" t="s">
        <v>11</v>
      </c>
      <c r="B7" s="491" t="s">
        <v>202</v>
      </c>
      <c r="C7" s="539">
        <v>2443</v>
      </c>
      <c r="D7" s="540">
        <v>2443</v>
      </c>
      <c r="E7" s="550">
        <v>988</v>
      </c>
      <c r="F7" s="551">
        <f t="shared" ref="F7:F54" si="0">E7*30</f>
        <v>29640</v>
      </c>
      <c r="G7" s="551">
        <v>7920</v>
      </c>
      <c r="H7" s="551">
        <v>9450</v>
      </c>
      <c r="I7" s="551">
        <v>8460</v>
      </c>
      <c r="J7" s="552">
        <f>SUM(G7:I7)</f>
        <v>25830</v>
      </c>
      <c r="K7" s="553">
        <f t="shared" ref="K7:K54" si="1">F7-J7</f>
        <v>3810</v>
      </c>
      <c r="L7" s="553">
        <f t="shared" ref="L7:L54" si="2">IF(K7&lt;0,F7,J7)</f>
        <v>25830</v>
      </c>
      <c r="M7" s="553" t="s">
        <v>206</v>
      </c>
      <c r="N7" s="553">
        <v>3.638299657884593</v>
      </c>
      <c r="O7" s="554">
        <f t="shared" ref="O7:O54" si="3">ROUND(N7*L7,0)</f>
        <v>93977</v>
      </c>
      <c r="P7" s="544"/>
      <c r="Q7" s="555">
        <v>10080</v>
      </c>
      <c r="R7" s="555">
        <v>10710</v>
      </c>
      <c r="S7" s="555">
        <v>11738.203578947368</v>
      </c>
      <c r="T7" s="553">
        <v>0.2036</v>
      </c>
      <c r="U7" s="554">
        <f>SUM(Q7+R7+S7)*T7</f>
        <v>6622.7422486736841</v>
      </c>
      <c r="V7" s="544"/>
      <c r="W7" s="556">
        <v>360</v>
      </c>
      <c r="X7" s="557">
        <v>0</v>
      </c>
      <c r="Y7" s="557">
        <v>360</v>
      </c>
      <c r="Z7" s="553">
        <v>1.7611399999999999</v>
      </c>
      <c r="AA7" s="558">
        <f>SUM(W7+X7+Y7)*Z7</f>
        <v>1268.0208</v>
      </c>
      <c r="AB7" s="540"/>
      <c r="AC7" s="559"/>
      <c r="AD7" s="560"/>
      <c r="AE7" s="561"/>
      <c r="AF7" s="560"/>
      <c r="AG7" s="562"/>
      <c r="AH7" s="540"/>
      <c r="AI7" s="563"/>
      <c r="AJ7" s="564"/>
      <c r="AK7" s="565">
        <f t="shared" ref="AK7:AK54" si="4">AJ7*AI7</f>
        <v>0</v>
      </c>
      <c r="AL7" s="540"/>
      <c r="AM7" s="557">
        <v>540</v>
      </c>
      <c r="AN7" s="557">
        <v>420</v>
      </c>
      <c r="AO7" s="557">
        <v>540</v>
      </c>
      <c r="AP7" s="553">
        <v>0.2036</v>
      </c>
      <c r="AQ7" s="554">
        <f>SUM(AM7+AN7+AO7)*AP7</f>
        <v>305.39999999999998</v>
      </c>
      <c r="AR7" s="540"/>
      <c r="AS7" s="566">
        <f>SUM(AQ7,AK7,AA7,U7,O7,AC7,AE7,AG7)</f>
        <v>102173.16304867368</v>
      </c>
      <c r="AT7" s="549"/>
      <c r="AU7" s="567"/>
      <c r="AV7" s="567"/>
      <c r="AW7" s="567"/>
      <c r="AX7" s="567">
        <f>AV7+AU7+AS7+AW7</f>
        <v>102173.16304867368</v>
      </c>
      <c r="AZ7" s="568"/>
      <c r="BA7" s="569"/>
      <c r="BB7" s="480">
        <f>E7/38</f>
        <v>26</v>
      </c>
      <c r="BE7" s="480">
        <v>6622.7422486736841</v>
      </c>
      <c r="BF7" s="570">
        <f>BE7-U7</f>
        <v>0</v>
      </c>
    </row>
    <row r="8" spans="1:60" ht="15" x14ac:dyDescent="0.25">
      <c r="A8" s="538" t="s">
        <v>13</v>
      </c>
      <c r="B8" s="491" t="s">
        <v>204</v>
      </c>
      <c r="C8" s="539">
        <v>2629</v>
      </c>
      <c r="D8" s="540">
        <v>2629</v>
      </c>
      <c r="E8" s="571">
        <v>1482</v>
      </c>
      <c r="F8" s="551">
        <f t="shared" si="0"/>
        <v>44460</v>
      </c>
      <c r="G8" s="551">
        <v>14040</v>
      </c>
      <c r="H8" s="551">
        <v>15780</v>
      </c>
      <c r="I8" s="551">
        <v>14040</v>
      </c>
      <c r="J8" s="552">
        <f t="shared" ref="J8:J54" si="5">SUM(G8:I8)</f>
        <v>43860</v>
      </c>
      <c r="K8" s="551">
        <f t="shared" si="1"/>
        <v>600</v>
      </c>
      <c r="L8" s="551">
        <f t="shared" si="2"/>
        <v>43860</v>
      </c>
      <c r="M8" s="553" t="s">
        <v>206</v>
      </c>
      <c r="N8" s="553">
        <v>3.638299657884593</v>
      </c>
      <c r="O8" s="572">
        <f t="shared" si="3"/>
        <v>159576</v>
      </c>
      <c r="P8" s="544"/>
      <c r="Q8" s="555">
        <v>40140</v>
      </c>
      <c r="R8" s="555">
        <v>40425</v>
      </c>
      <c r="S8" s="555">
        <v>40140</v>
      </c>
      <c r="T8" s="551">
        <v>0.2036</v>
      </c>
      <c r="U8" s="554">
        <f t="shared" ref="U8:U54" si="6">SUM(Q8+R8+S8)*T8</f>
        <v>24575.538</v>
      </c>
      <c r="V8" s="544"/>
      <c r="W8" s="556">
        <v>180</v>
      </c>
      <c r="X8" s="557">
        <v>210</v>
      </c>
      <c r="Y8" s="557">
        <v>180</v>
      </c>
      <c r="Z8" s="551">
        <v>1.7611399999999999</v>
      </c>
      <c r="AA8" s="558">
        <f t="shared" ref="AA8:AA54" si="7">SUM(W8+X8+Y8)*Z8</f>
        <v>1003.8498</v>
      </c>
      <c r="AB8" s="540"/>
      <c r="AC8" s="559"/>
      <c r="AD8" s="560"/>
      <c r="AE8" s="573"/>
      <c r="AF8" s="560"/>
      <c r="AG8" s="574"/>
      <c r="AH8" s="540"/>
      <c r="AI8" s="575"/>
      <c r="AJ8" s="576"/>
      <c r="AK8" s="577">
        <f t="shared" si="4"/>
        <v>0</v>
      </c>
      <c r="AL8" s="540"/>
      <c r="AM8" s="557">
        <v>10980</v>
      </c>
      <c r="AN8" s="557">
        <v>11305</v>
      </c>
      <c r="AO8" s="557">
        <v>10980</v>
      </c>
      <c r="AP8" s="551">
        <v>0.2036</v>
      </c>
      <c r="AQ8" s="554">
        <f t="shared" ref="AQ8:AQ54" si="8">SUM(AM8+AN8+AO8)*AP8</f>
        <v>6772.7539999999999</v>
      </c>
      <c r="AR8" s="540"/>
      <c r="AS8" s="578">
        <f t="shared" ref="AS8:AS54" si="9">SUM(AQ8,AK8,AA8,U8,O8,AC8,AE8,AG8)</f>
        <v>191928.14180000001</v>
      </c>
      <c r="AT8" s="549"/>
      <c r="AU8" s="567"/>
      <c r="AV8" s="567"/>
      <c r="AW8" s="567"/>
      <c r="AX8" s="567">
        <f t="shared" ref="AX8:AX54" si="10">AV8+AU8+AS8+AW8</f>
        <v>191928.14180000001</v>
      </c>
      <c r="AZ8" s="568"/>
      <c r="BA8" s="569"/>
      <c r="BB8" s="480">
        <f t="shared" ref="BB8:BB54" si="11">E8/38</f>
        <v>39</v>
      </c>
      <c r="BE8" s="480">
        <v>24575.538</v>
      </c>
      <c r="BF8" s="570">
        <f t="shared" ref="BF8:BF71" si="12">BE8-U8</f>
        <v>0</v>
      </c>
    </row>
    <row r="9" spans="1:60" ht="15" x14ac:dyDescent="0.25">
      <c r="A9" s="538" t="s">
        <v>2</v>
      </c>
      <c r="B9" s="491" t="s">
        <v>205</v>
      </c>
      <c r="C9" s="539">
        <v>1014</v>
      </c>
      <c r="D9" s="540">
        <v>1014</v>
      </c>
      <c r="E9" s="571">
        <v>1520</v>
      </c>
      <c r="F9" s="551">
        <f t="shared" si="0"/>
        <v>45600</v>
      </c>
      <c r="G9" s="551">
        <v>10548</v>
      </c>
      <c r="H9" s="551">
        <v>7350</v>
      </c>
      <c r="I9" s="551">
        <v>8100</v>
      </c>
      <c r="J9" s="552">
        <f t="shared" si="5"/>
        <v>25998</v>
      </c>
      <c r="K9" s="551">
        <f t="shared" si="1"/>
        <v>19602</v>
      </c>
      <c r="L9" s="551">
        <f t="shared" si="2"/>
        <v>25998</v>
      </c>
      <c r="M9" s="553" t="s">
        <v>203</v>
      </c>
      <c r="N9" s="553">
        <v>5.5991996578845935</v>
      </c>
      <c r="O9" s="572">
        <f t="shared" si="3"/>
        <v>145568</v>
      </c>
      <c r="P9" s="544"/>
      <c r="Q9" s="555">
        <v>15660</v>
      </c>
      <c r="R9" s="555">
        <v>13902</v>
      </c>
      <c r="S9" s="555">
        <v>13746.315789473685</v>
      </c>
      <c r="T9" s="551">
        <v>0.2036</v>
      </c>
      <c r="U9" s="554">
        <f t="shared" si="6"/>
        <v>8817.5730947368429</v>
      </c>
      <c r="V9" s="544"/>
      <c r="W9" s="556">
        <v>540</v>
      </c>
      <c r="X9" s="557">
        <v>210</v>
      </c>
      <c r="Y9" s="557">
        <v>540</v>
      </c>
      <c r="Z9" s="551">
        <v>1.7611399999999999</v>
      </c>
      <c r="AA9" s="558">
        <f t="shared" si="7"/>
        <v>2271.8705999999997</v>
      </c>
      <c r="AB9" s="540"/>
      <c r="AC9" s="559"/>
      <c r="AD9" s="560"/>
      <c r="AE9" s="573"/>
      <c r="AF9" s="560"/>
      <c r="AG9" s="574">
        <v>0</v>
      </c>
      <c r="AH9" s="540"/>
      <c r="AI9" s="575">
        <v>1</v>
      </c>
      <c r="AJ9" s="576">
        <v>100000</v>
      </c>
      <c r="AK9" s="577">
        <f t="shared" si="4"/>
        <v>100000</v>
      </c>
      <c r="AL9" s="540"/>
      <c r="AM9" s="557">
        <v>1980</v>
      </c>
      <c r="AN9" s="557">
        <v>0</v>
      </c>
      <c r="AO9" s="557">
        <v>1980</v>
      </c>
      <c r="AP9" s="551">
        <v>0.2036</v>
      </c>
      <c r="AQ9" s="554">
        <f t="shared" si="8"/>
        <v>806.25599999999997</v>
      </c>
      <c r="AR9" s="540"/>
      <c r="AS9" s="578">
        <f t="shared" si="9"/>
        <v>257463.69969473683</v>
      </c>
      <c r="AT9" s="549"/>
      <c r="AU9" s="567">
        <v>-152.8799999999992</v>
      </c>
      <c r="AV9" s="567"/>
      <c r="AW9" s="579">
        <v>9613.5</v>
      </c>
      <c r="AX9" s="567">
        <f t="shared" si="10"/>
        <v>266924.31969473686</v>
      </c>
      <c r="AZ9" s="568"/>
      <c r="BA9" s="569"/>
      <c r="BB9" s="480">
        <f t="shared" si="11"/>
        <v>40</v>
      </c>
      <c r="BE9" s="480">
        <v>8817.5730947368429</v>
      </c>
      <c r="BF9" s="570">
        <f t="shared" si="12"/>
        <v>0</v>
      </c>
    </row>
    <row r="10" spans="1:60" ht="15" x14ac:dyDescent="0.25">
      <c r="A10" s="538" t="s">
        <v>16</v>
      </c>
      <c r="B10" s="491" t="s">
        <v>207</v>
      </c>
      <c r="C10" s="539">
        <v>2464</v>
      </c>
      <c r="D10" s="540">
        <v>2464</v>
      </c>
      <c r="E10" s="571">
        <v>988</v>
      </c>
      <c r="F10" s="551">
        <f t="shared" si="0"/>
        <v>29640</v>
      </c>
      <c r="G10" s="551">
        <v>8604</v>
      </c>
      <c r="H10" s="551">
        <v>6510</v>
      </c>
      <c r="I10" s="551">
        <v>5580</v>
      </c>
      <c r="J10" s="552">
        <f t="shared" si="5"/>
        <v>20694</v>
      </c>
      <c r="K10" s="551">
        <f t="shared" si="1"/>
        <v>8946</v>
      </c>
      <c r="L10" s="551">
        <f t="shared" si="2"/>
        <v>20694</v>
      </c>
      <c r="M10" s="553" t="s">
        <v>206</v>
      </c>
      <c r="N10" s="553">
        <v>3.638299657884593</v>
      </c>
      <c r="O10" s="572">
        <f t="shared" si="3"/>
        <v>75291</v>
      </c>
      <c r="P10" s="544"/>
      <c r="Q10" s="555">
        <v>5400</v>
      </c>
      <c r="R10" s="555">
        <v>4830</v>
      </c>
      <c r="S10" s="555">
        <v>4272.6315789473683</v>
      </c>
      <c r="T10" s="551">
        <v>0.2036</v>
      </c>
      <c r="U10" s="554">
        <f t="shared" si="6"/>
        <v>2952.7357894736842</v>
      </c>
      <c r="V10" s="544"/>
      <c r="W10" s="556">
        <v>360</v>
      </c>
      <c r="X10" s="557">
        <v>0</v>
      </c>
      <c r="Y10" s="557">
        <v>360</v>
      </c>
      <c r="Z10" s="551">
        <v>1.7611399999999999</v>
      </c>
      <c r="AA10" s="558">
        <f t="shared" si="7"/>
        <v>1268.0208</v>
      </c>
      <c r="AB10" s="540"/>
      <c r="AC10" s="559"/>
      <c r="AD10" s="560"/>
      <c r="AE10" s="573"/>
      <c r="AF10" s="560"/>
      <c r="AG10" s="574"/>
      <c r="AH10" s="540"/>
      <c r="AI10" s="575"/>
      <c r="AJ10" s="576"/>
      <c r="AK10" s="577">
        <f t="shared" si="4"/>
        <v>0</v>
      </c>
      <c r="AL10" s="540"/>
      <c r="AM10" s="557">
        <v>0</v>
      </c>
      <c r="AN10" s="557">
        <v>0</v>
      </c>
      <c r="AO10" s="557">
        <v>0</v>
      </c>
      <c r="AP10" s="551">
        <v>0.2036</v>
      </c>
      <c r="AQ10" s="554">
        <f t="shared" si="8"/>
        <v>0</v>
      </c>
      <c r="AR10" s="540"/>
      <c r="AS10" s="578">
        <f t="shared" si="9"/>
        <v>79511.756589473691</v>
      </c>
      <c r="AT10" s="549"/>
      <c r="AU10" s="567"/>
      <c r="AV10" s="567"/>
      <c r="AW10" s="567"/>
      <c r="AX10" s="567">
        <f t="shared" si="10"/>
        <v>79511.756589473691</v>
      </c>
      <c r="AZ10" s="568"/>
      <c r="BA10" s="569"/>
      <c r="BB10" s="480">
        <f t="shared" si="11"/>
        <v>26</v>
      </c>
      <c r="BE10" s="480">
        <v>2952.7357894736842</v>
      </c>
      <c r="BF10" s="570">
        <f t="shared" si="12"/>
        <v>0</v>
      </c>
    </row>
    <row r="11" spans="1:60" ht="15" x14ac:dyDescent="0.25">
      <c r="A11" s="538" t="s">
        <v>17</v>
      </c>
      <c r="B11" s="491" t="s">
        <v>208</v>
      </c>
      <c r="C11" s="539">
        <v>2004</v>
      </c>
      <c r="D11" s="540">
        <v>2004</v>
      </c>
      <c r="E11" s="571">
        <v>1976</v>
      </c>
      <c r="F11" s="551">
        <f t="shared" si="0"/>
        <v>59280</v>
      </c>
      <c r="G11" s="551">
        <v>9360</v>
      </c>
      <c r="H11" s="551">
        <v>5040</v>
      </c>
      <c r="I11" s="551">
        <v>5400</v>
      </c>
      <c r="J11" s="552">
        <f t="shared" si="5"/>
        <v>19800</v>
      </c>
      <c r="K11" s="551">
        <f t="shared" si="1"/>
        <v>39480</v>
      </c>
      <c r="L11" s="551">
        <f t="shared" si="2"/>
        <v>19800</v>
      </c>
      <c r="M11" s="553" t="s">
        <v>206</v>
      </c>
      <c r="N11" s="553">
        <v>3.638299657884593</v>
      </c>
      <c r="O11" s="572">
        <f t="shared" si="3"/>
        <v>72038</v>
      </c>
      <c r="P11" s="544"/>
      <c r="Q11" s="555">
        <v>19620</v>
      </c>
      <c r="R11" s="555">
        <v>15330</v>
      </c>
      <c r="S11" s="555">
        <v>21363.15789473684</v>
      </c>
      <c r="T11" s="551">
        <v>0.2036</v>
      </c>
      <c r="U11" s="554">
        <f t="shared" si="6"/>
        <v>11465.358947368421</v>
      </c>
      <c r="V11" s="544"/>
      <c r="W11" s="556">
        <v>540</v>
      </c>
      <c r="X11" s="557">
        <v>630</v>
      </c>
      <c r="Y11" s="557">
        <v>540</v>
      </c>
      <c r="Z11" s="551">
        <v>1.7611399999999999</v>
      </c>
      <c r="AA11" s="558">
        <f t="shared" si="7"/>
        <v>3011.5493999999999</v>
      </c>
      <c r="AB11" s="540"/>
      <c r="AC11" s="559"/>
      <c r="AD11" s="560"/>
      <c r="AE11" s="573"/>
      <c r="AF11" s="560"/>
      <c r="AG11" s="574"/>
      <c r="AH11" s="540"/>
      <c r="AI11" s="575"/>
      <c r="AJ11" s="576"/>
      <c r="AK11" s="577">
        <f t="shared" si="4"/>
        <v>0</v>
      </c>
      <c r="AL11" s="540"/>
      <c r="AM11" s="557">
        <v>360</v>
      </c>
      <c r="AN11" s="557">
        <v>210</v>
      </c>
      <c r="AO11" s="557">
        <v>360</v>
      </c>
      <c r="AP11" s="551">
        <v>0.2036</v>
      </c>
      <c r="AQ11" s="554">
        <f t="shared" si="8"/>
        <v>189.34800000000001</v>
      </c>
      <c r="AR11" s="540"/>
      <c r="AS11" s="578">
        <f t="shared" si="9"/>
        <v>86704.256347368413</v>
      </c>
      <c r="AT11" s="549"/>
      <c r="AU11" s="567"/>
      <c r="AV11" s="567"/>
      <c r="AW11" s="567"/>
      <c r="AX11" s="567">
        <f t="shared" si="10"/>
        <v>86704.256347368413</v>
      </c>
      <c r="AZ11" s="568"/>
      <c r="BA11" s="569"/>
      <c r="BB11" s="480">
        <f t="shared" si="11"/>
        <v>52</v>
      </c>
      <c r="BE11" s="480">
        <v>11465.358947368421</v>
      </c>
      <c r="BF11" s="570">
        <f t="shared" si="12"/>
        <v>0</v>
      </c>
    </row>
    <row r="12" spans="1:60" ht="15" x14ac:dyDescent="0.25">
      <c r="A12" s="538" t="s">
        <v>18</v>
      </c>
      <c r="B12" s="491" t="s">
        <v>209</v>
      </c>
      <c r="C12" s="539">
        <v>2405</v>
      </c>
      <c r="D12" s="540">
        <v>2405</v>
      </c>
      <c r="E12" s="571">
        <v>988</v>
      </c>
      <c r="F12" s="551">
        <f t="shared" si="0"/>
        <v>29640</v>
      </c>
      <c r="G12" s="551">
        <v>8280</v>
      </c>
      <c r="H12" s="551">
        <v>5460</v>
      </c>
      <c r="I12" s="551">
        <v>6300</v>
      </c>
      <c r="J12" s="552">
        <f t="shared" si="5"/>
        <v>20040</v>
      </c>
      <c r="K12" s="551">
        <f t="shared" si="1"/>
        <v>9600</v>
      </c>
      <c r="L12" s="551">
        <f t="shared" si="2"/>
        <v>20040</v>
      </c>
      <c r="M12" s="553" t="s">
        <v>206</v>
      </c>
      <c r="N12" s="553">
        <v>3.638299657884593</v>
      </c>
      <c r="O12" s="572">
        <f t="shared" si="3"/>
        <v>72912</v>
      </c>
      <c r="P12" s="544"/>
      <c r="Q12" s="555">
        <v>18000</v>
      </c>
      <c r="R12" s="555">
        <v>10248</v>
      </c>
      <c r="S12" s="555">
        <v>15252.631578947367</v>
      </c>
      <c r="T12" s="551">
        <v>0.2036</v>
      </c>
      <c r="U12" s="554">
        <f t="shared" si="6"/>
        <v>8856.7285894736833</v>
      </c>
      <c r="V12" s="544"/>
      <c r="W12" s="556">
        <v>540</v>
      </c>
      <c r="X12" s="557">
        <v>210</v>
      </c>
      <c r="Y12" s="557">
        <v>540</v>
      </c>
      <c r="Z12" s="551">
        <v>1.7611399999999999</v>
      </c>
      <c r="AA12" s="558">
        <f t="shared" si="7"/>
        <v>2271.8705999999997</v>
      </c>
      <c r="AB12" s="540"/>
      <c r="AC12" s="559"/>
      <c r="AD12" s="560"/>
      <c r="AE12" s="573"/>
      <c r="AF12" s="560"/>
      <c r="AG12" s="574"/>
      <c r="AH12" s="540"/>
      <c r="AI12" s="575"/>
      <c r="AJ12" s="576"/>
      <c r="AK12" s="577">
        <f t="shared" si="4"/>
        <v>0</v>
      </c>
      <c r="AL12" s="540"/>
      <c r="AM12" s="557">
        <v>3600</v>
      </c>
      <c r="AN12" s="557">
        <v>2226</v>
      </c>
      <c r="AO12" s="557">
        <v>3600</v>
      </c>
      <c r="AP12" s="551">
        <v>0.2036</v>
      </c>
      <c r="AQ12" s="554">
        <f t="shared" si="8"/>
        <v>1919.1336000000001</v>
      </c>
      <c r="AR12" s="540"/>
      <c r="AS12" s="578">
        <f t="shared" si="9"/>
        <v>85959.732789473681</v>
      </c>
      <c r="AT12" s="549"/>
      <c r="AU12" s="567"/>
      <c r="AV12" s="567"/>
      <c r="AW12" s="567"/>
      <c r="AX12" s="567">
        <f t="shared" si="10"/>
        <v>85959.732789473681</v>
      </c>
      <c r="AZ12" s="568"/>
      <c r="BA12" s="569"/>
      <c r="BB12" s="480">
        <f t="shared" si="11"/>
        <v>26</v>
      </c>
      <c r="BE12" s="480">
        <v>8856.7285894736833</v>
      </c>
      <c r="BF12" s="570">
        <f t="shared" si="12"/>
        <v>0</v>
      </c>
    </row>
    <row r="13" spans="1:60" ht="15" x14ac:dyDescent="0.25">
      <c r="A13" s="580" t="s">
        <v>749</v>
      </c>
      <c r="B13" s="491" t="s">
        <v>683</v>
      </c>
      <c r="C13" s="581">
        <v>4177</v>
      </c>
      <c r="D13" s="540">
        <v>4177</v>
      </c>
      <c r="E13" s="571">
        <f>26*38</f>
        <v>988</v>
      </c>
      <c r="F13" s="551">
        <f t="shared" si="0"/>
        <v>29640</v>
      </c>
      <c r="G13" s="551">
        <v>2700</v>
      </c>
      <c r="H13" s="551">
        <v>4200</v>
      </c>
      <c r="I13" s="551">
        <v>4680</v>
      </c>
      <c r="J13" s="552">
        <f t="shared" si="5"/>
        <v>11580</v>
      </c>
      <c r="K13" s="551">
        <f t="shared" si="1"/>
        <v>18060</v>
      </c>
      <c r="L13" s="551">
        <f t="shared" si="2"/>
        <v>11580</v>
      </c>
      <c r="M13" s="553" t="s">
        <v>206</v>
      </c>
      <c r="N13" s="553">
        <v>3.638299657884593</v>
      </c>
      <c r="O13" s="572">
        <f t="shared" si="3"/>
        <v>42132</v>
      </c>
      <c r="P13" s="544"/>
      <c r="Q13" s="555">
        <v>0</v>
      </c>
      <c r="R13" s="555">
        <v>0</v>
      </c>
      <c r="S13" s="555">
        <v>0</v>
      </c>
      <c r="T13" s="551">
        <v>0.2036</v>
      </c>
      <c r="U13" s="554">
        <f t="shared" si="6"/>
        <v>0</v>
      </c>
      <c r="V13" s="544"/>
      <c r="W13" s="556">
        <v>0</v>
      </c>
      <c r="X13" s="557">
        <v>0</v>
      </c>
      <c r="Y13" s="557">
        <v>0</v>
      </c>
      <c r="Z13" s="551">
        <v>1.7611399999999999</v>
      </c>
      <c r="AA13" s="558">
        <f t="shared" si="7"/>
        <v>0</v>
      </c>
      <c r="AB13" s="540"/>
      <c r="AC13" s="559"/>
      <c r="AD13" s="560"/>
      <c r="AE13" s="573"/>
      <c r="AF13" s="560"/>
      <c r="AG13" s="574"/>
      <c r="AH13" s="540"/>
      <c r="AI13" s="575"/>
      <c r="AJ13" s="576"/>
      <c r="AK13" s="577">
        <f t="shared" si="4"/>
        <v>0</v>
      </c>
      <c r="AL13" s="540"/>
      <c r="AM13" s="557">
        <v>0</v>
      </c>
      <c r="AN13" s="557">
        <v>0</v>
      </c>
      <c r="AO13" s="557">
        <v>0</v>
      </c>
      <c r="AP13" s="551">
        <v>0.2036</v>
      </c>
      <c r="AQ13" s="554">
        <f t="shared" si="8"/>
        <v>0</v>
      </c>
      <c r="AR13" s="540"/>
      <c r="AS13" s="578">
        <f t="shared" si="9"/>
        <v>42132</v>
      </c>
      <c r="AT13" s="549"/>
      <c r="AU13" s="567"/>
      <c r="AV13" s="567"/>
      <c r="AW13" s="567"/>
      <c r="AX13" s="567">
        <f t="shared" si="10"/>
        <v>42132</v>
      </c>
      <c r="AZ13" s="568"/>
      <c r="BA13" s="569"/>
      <c r="BB13" s="480">
        <f t="shared" si="11"/>
        <v>26</v>
      </c>
      <c r="BE13" s="480">
        <v>0</v>
      </c>
      <c r="BF13" s="570">
        <f t="shared" si="12"/>
        <v>0</v>
      </c>
    </row>
    <row r="14" spans="1:60" ht="26.25" x14ac:dyDescent="0.25">
      <c r="A14" s="582" t="s">
        <v>750</v>
      </c>
      <c r="B14" s="491" t="s">
        <v>210</v>
      </c>
      <c r="C14" s="539">
        <v>2011</v>
      </c>
      <c r="D14" s="540">
        <v>2011</v>
      </c>
      <c r="E14" s="571">
        <v>1482</v>
      </c>
      <c r="F14" s="551">
        <f t="shared" si="0"/>
        <v>44460</v>
      </c>
      <c r="G14" s="551">
        <v>7200</v>
      </c>
      <c r="H14" s="551">
        <v>4830</v>
      </c>
      <c r="I14" s="551">
        <v>5760</v>
      </c>
      <c r="J14" s="552">
        <f t="shared" si="5"/>
        <v>17790</v>
      </c>
      <c r="K14" s="551">
        <f t="shared" si="1"/>
        <v>26670</v>
      </c>
      <c r="L14" s="551">
        <f t="shared" si="2"/>
        <v>17790</v>
      </c>
      <c r="M14" s="553" t="s">
        <v>206</v>
      </c>
      <c r="N14" s="553">
        <v>3.638299657884593</v>
      </c>
      <c r="O14" s="572">
        <f t="shared" si="3"/>
        <v>64725</v>
      </c>
      <c r="P14" s="544"/>
      <c r="Q14" s="555">
        <v>10080</v>
      </c>
      <c r="R14" s="555">
        <v>7770</v>
      </c>
      <c r="S14" s="555">
        <v>7062</v>
      </c>
      <c r="T14" s="551">
        <v>0.2036</v>
      </c>
      <c r="U14" s="554">
        <f t="shared" si="6"/>
        <v>5072.0832</v>
      </c>
      <c r="V14" s="544"/>
      <c r="W14" s="556">
        <v>180</v>
      </c>
      <c r="X14" s="557">
        <v>210</v>
      </c>
      <c r="Y14" s="557">
        <v>180</v>
      </c>
      <c r="Z14" s="551">
        <v>1.7611399999999999</v>
      </c>
      <c r="AA14" s="558">
        <f t="shared" si="7"/>
        <v>1003.8498</v>
      </c>
      <c r="AB14" s="540"/>
      <c r="AC14" s="559"/>
      <c r="AD14" s="560"/>
      <c r="AE14" s="573"/>
      <c r="AF14" s="560"/>
      <c r="AG14" s="574"/>
      <c r="AH14" s="540"/>
      <c r="AI14" s="575"/>
      <c r="AJ14" s="576"/>
      <c r="AK14" s="577">
        <f t="shared" si="4"/>
        <v>0</v>
      </c>
      <c r="AL14" s="540"/>
      <c r="AM14" s="557">
        <v>1080</v>
      </c>
      <c r="AN14" s="557">
        <v>840</v>
      </c>
      <c r="AO14" s="557">
        <v>1080</v>
      </c>
      <c r="AP14" s="551">
        <v>0.2036</v>
      </c>
      <c r="AQ14" s="554">
        <f t="shared" si="8"/>
        <v>610.79999999999995</v>
      </c>
      <c r="AR14" s="540"/>
      <c r="AS14" s="578">
        <f t="shared" si="9"/>
        <v>71411.733000000007</v>
      </c>
      <c r="AT14" s="549"/>
      <c r="AU14" s="567"/>
      <c r="AV14" s="567"/>
      <c r="AW14" s="567"/>
      <c r="AX14" s="567">
        <f t="shared" si="10"/>
        <v>71411.733000000007</v>
      </c>
      <c r="AZ14" s="568"/>
      <c r="BA14" s="569"/>
      <c r="BB14" s="480">
        <f t="shared" si="11"/>
        <v>39</v>
      </c>
      <c r="BE14" s="480">
        <v>5072.0832</v>
      </c>
      <c r="BF14" s="570">
        <f t="shared" si="12"/>
        <v>0</v>
      </c>
    </row>
    <row r="15" spans="1:60" ht="15" x14ac:dyDescent="0.25">
      <c r="A15" s="583" t="s">
        <v>20</v>
      </c>
      <c r="B15" s="489" t="s">
        <v>211</v>
      </c>
      <c r="C15" s="584">
        <v>5201</v>
      </c>
      <c r="D15" s="540">
        <v>5201</v>
      </c>
      <c r="E15" s="571">
        <v>988</v>
      </c>
      <c r="F15" s="551">
        <f t="shared" si="0"/>
        <v>29640</v>
      </c>
      <c r="G15" s="551">
        <v>9360</v>
      </c>
      <c r="H15" s="551">
        <v>4830</v>
      </c>
      <c r="I15" s="551">
        <v>9360</v>
      </c>
      <c r="J15" s="552">
        <f t="shared" si="5"/>
        <v>23550</v>
      </c>
      <c r="K15" s="551">
        <f t="shared" si="1"/>
        <v>6090</v>
      </c>
      <c r="L15" s="551">
        <f t="shared" si="2"/>
        <v>23550</v>
      </c>
      <c r="M15" s="553" t="s">
        <v>206</v>
      </c>
      <c r="N15" s="553">
        <v>3.638299657884593</v>
      </c>
      <c r="O15" s="572">
        <f t="shared" si="3"/>
        <v>85682</v>
      </c>
      <c r="P15" s="544"/>
      <c r="Q15" s="555">
        <v>1440</v>
      </c>
      <c r="R15" s="555">
        <v>2100</v>
      </c>
      <c r="S15" s="555">
        <v>2758.7368421052633</v>
      </c>
      <c r="T15" s="551">
        <v>0.2036</v>
      </c>
      <c r="U15" s="554">
        <f t="shared" si="6"/>
        <v>1282.4228210526317</v>
      </c>
      <c r="V15" s="544"/>
      <c r="W15" s="556">
        <v>180</v>
      </c>
      <c r="X15" s="557">
        <v>210</v>
      </c>
      <c r="Y15" s="557">
        <v>180</v>
      </c>
      <c r="Z15" s="551">
        <v>1.7611399999999999</v>
      </c>
      <c r="AA15" s="558">
        <f t="shared" si="7"/>
        <v>1003.8498</v>
      </c>
      <c r="AB15" s="540"/>
      <c r="AC15" s="559"/>
      <c r="AD15" s="560"/>
      <c r="AE15" s="573"/>
      <c r="AF15" s="560"/>
      <c r="AG15" s="574"/>
      <c r="AH15" s="540"/>
      <c r="AI15" s="575"/>
      <c r="AJ15" s="576"/>
      <c r="AK15" s="577">
        <f t="shared" si="4"/>
        <v>0</v>
      </c>
      <c r="AL15" s="540"/>
      <c r="AM15" s="557">
        <v>0</v>
      </c>
      <c r="AN15" s="557">
        <v>0</v>
      </c>
      <c r="AO15" s="557">
        <v>0</v>
      </c>
      <c r="AP15" s="551">
        <v>0.2036</v>
      </c>
      <c r="AQ15" s="554">
        <f t="shared" si="8"/>
        <v>0</v>
      </c>
      <c r="AR15" s="540"/>
      <c r="AS15" s="578">
        <f t="shared" si="9"/>
        <v>87968.272621052631</v>
      </c>
      <c r="AT15" s="549"/>
      <c r="AU15" s="567"/>
      <c r="AV15" s="567"/>
      <c r="AW15" s="567"/>
      <c r="AX15" s="567">
        <f t="shared" si="10"/>
        <v>87968.272621052631</v>
      </c>
      <c r="AZ15" s="568"/>
      <c r="BA15" s="569"/>
      <c r="BB15" s="480">
        <f t="shared" si="11"/>
        <v>26</v>
      </c>
      <c r="BE15" s="480">
        <v>1282.4228210526317</v>
      </c>
      <c r="BF15" s="570">
        <f t="shared" si="12"/>
        <v>0</v>
      </c>
    </row>
    <row r="16" spans="1:60" ht="15" x14ac:dyDescent="0.25">
      <c r="A16" s="538" t="s">
        <v>96</v>
      </c>
      <c r="B16" s="491" t="s">
        <v>751</v>
      </c>
      <c r="C16" s="539">
        <v>2007</v>
      </c>
      <c r="D16" s="540">
        <v>2007</v>
      </c>
      <c r="E16" s="571">
        <v>1976</v>
      </c>
      <c r="F16" s="551">
        <f t="shared" si="0"/>
        <v>59280</v>
      </c>
      <c r="G16" s="551">
        <v>7920</v>
      </c>
      <c r="H16" s="551">
        <v>4410</v>
      </c>
      <c r="I16" s="551">
        <v>6840</v>
      </c>
      <c r="J16" s="552">
        <f t="shared" si="5"/>
        <v>19170</v>
      </c>
      <c r="K16" s="551">
        <f t="shared" si="1"/>
        <v>40110</v>
      </c>
      <c r="L16" s="551">
        <f t="shared" si="2"/>
        <v>19170</v>
      </c>
      <c r="M16" s="553" t="s">
        <v>206</v>
      </c>
      <c r="N16" s="553">
        <v>3.638299657884593</v>
      </c>
      <c r="O16" s="572">
        <f t="shared" si="3"/>
        <v>69746</v>
      </c>
      <c r="P16" s="544"/>
      <c r="Q16" s="555">
        <v>28260</v>
      </c>
      <c r="R16" s="555">
        <v>9660</v>
      </c>
      <c r="S16" s="555">
        <v>13158.947368421055</v>
      </c>
      <c r="T16" s="551">
        <v>0.2036</v>
      </c>
      <c r="U16" s="554">
        <f t="shared" si="6"/>
        <v>10399.673684210527</v>
      </c>
      <c r="V16" s="544"/>
      <c r="W16" s="556">
        <v>720</v>
      </c>
      <c r="X16" s="557">
        <v>210</v>
      </c>
      <c r="Y16" s="557">
        <v>720</v>
      </c>
      <c r="Z16" s="551">
        <v>1.7611399999999999</v>
      </c>
      <c r="AA16" s="558">
        <f t="shared" si="7"/>
        <v>2905.8809999999999</v>
      </c>
      <c r="AB16" s="540"/>
      <c r="AC16" s="559"/>
      <c r="AD16" s="560"/>
      <c r="AE16" s="573"/>
      <c r="AF16" s="560"/>
      <c r="AG16" s="574"/>
      <c r="AH16" s="540"/>
      <c r="AI16" s="575"/>
      <c r="AJ16" s="576"/>
      <c r="AK16" s="577">
        <f t="shared" si="4"/>
        <v>0</v>
      </c>
      <c r="AL16" s="540"/>
      <c r="AM16" s="557">
        <v>900</v>
      </c>
      <c r="AN16" s="557">
        <v>1050</v>
      </c>
      <c r="AO16" s="557">
        <v>900</v>
      </c>
      <c r="AP16" s="551">
        <v>0.2036</v>
      </c>
      <c r="AQ16" s="554">
        <f t="shared" si="8"/>
        <v>580.26</v>
      </c>
      <c r="AR16" s="540"/>
      <c r="AS16" s="578">
        <f t="shared" si="9"/>
        <v>83631.81468421052</v>
      </c>
      <c r="AT16" s="549"/>
      <c r="AU16" s="567"/>
      <c r="AV16" s="567"/>
      <c r="AW16" s="567"/>
      <c r="AX16" s="567">
        <f t="shared" si="10"/>
        <v>83631.81468421052</v>
      </c>
      <c r="AZ16" s="568"/>
      <c r="BA16" s="569"/>
      <c r="BB16" s="480">
        <f t="shared" si="11"/>
        <v>52</v>
      </c>
      <c r="BE16" s="480">
        <v>10399.673684210527</v>
      </c>
      <c r="BF16" s="570">
        <f t="shared" si="12"/>
        <v>0</v>
      </c>
    </row>
    <row r="17" spans="1:58" ht="15" x14ac:dyDescent="0.25">
      <c r="A17" s="538" t="s">
        <v>21</v>
      </c>
      <c r="B17" s="491" t="s">
        <v>212</v>
      </c>
      <c r="C17" s="539">
        <v>2433</v>
      </c>
      <c r="D17" s="540">
        <v>2433</v>
      </c>
      <c r="E17" s="571">
        <v>988</v>
      </c>
      <c r="F17" s="551">
        <f t="shared" si="0"/>
        <v>29640</v>
      </c>
      <c r="G17" s="551">
        <v>9360</v>
      </c>
      <c r="H17" s="551">
        <v>9660</v>
      </c>
      <c r="I17" s="551">
        <v>9360</v>
      </c>
      <c r="J17" s="552">
        <f t="shared" si="5"/>
        <v>28380</v>
      </c>
      <c r="K17" s="551">
        <f t="shared" si="1"/>
        <v>1260</v>
      </c>
      <c r="L17" s="551">
        <f t="shared" si="2"/>
        <v>28380</v>
      </c>
      <c r="M17" s="553" t="s">
        <v>206</v>
      </c>
      <c r="N17" s="553">
        <v>3.638299657884593</v>
      </c>
      <c r="O17" s="572">
        <f t="shared" si="3"/>
        <v>103255</v>
      </c>
      <c r="P17" s="544"/>
      <c r="Q17" s="555">
        <v>12780</v>
      </c>
      <c r="R17" s="555">
        <v>13188</v>
      </c>
      <c r="S17" s="555">
        <v>10721.368421052632</v>
      </c>
      <c r="T17" s="551">
        <v>0.2036</v>
      </c>
      <c r="U17" s="554">
        <f t="shared" si="6"/>
        <v>7469.955410526316</v>
      </c>
      <c r="V17" s="544"/>
      <c r="W17" s="556">
        <v>720</v>
      </c>
      <c r="X17" s="557">
        <v>420</v>
      </c>
      <c r="Y17" s="557">
        <v>720</v>
      </c>
      <c r="Z17" s="551">
        <v>1.7611399999999999</v>
      </c>
      <c r="AA17" s="558">
        <f t="shared" si="7"/>
        <v>3275.7203999999997</v>
      </c>
      <c r="AB17" s="540"/>
      <c r="AC17" s="559"/>
      <c r="AD17" s="560"/>
      <c r="AE17" s="573"/>
      <c r="AF17" s="560"/>
      <c r="AG17" s="574"/>
      <c r="AH17" s="540"/>
      <c r="AI17" s="575"/>
      <c r="AJ17" s="576"/>
      <c r="AK17" s="577">
        <f t="shared" si="4"/>
        <v>0</v>
      </c>
      <c r="AL17" s="540"/>
      <c r="AM17" s="557">
        <v>180</v>
      </c>
      <c r="AN17" s="557">
        <v>840</v>
      </c>
      <c r="AO17" s="557">
        <v>180</v>
      </c>
      <c r="AP17" s="551">
        <v>0.2036</v>
      </c>
      <c r="AQ17" s="554">
        <f t="shared" si="8"/>
        <v>244.32</v>
      </c>
      <c r="AR17" s="540"/>
      <c r="AS17" s="578">
        <f t="shared" si="9"/>
        <v>114244.99581052632</v>
      </c>
      <c r="AT17" s="549"/>
      <c r="AU17" s="567"/>
      <c r="AV17" s="567"/>
      <c r="AW17" s="567"/>
      <c r="AX17" s="567">
        <f t="shared" si="10"/>
        <v>114244.99581052632</v>
      </c>
      <c r="AZ17" s="568"/>
      <c r="BA17" s="569"/>
      <c r="BB17" s="480">
        <f t="shared" si="11"/>
        <v>26</v>
      </c>
      <c r="BE17" s="480">
        <v>7469.955410526316</v>
      </c>
      <c r="BF17" s="570">
        <f t="shared" si="12"/>
        <v>0</v>
      </c>
    </row>
    <row r="18" spans="1:58" ht="15" x14ac:dyDescent="0.25">
      <c r="A18" s="538" t="s">
        <v>199</v>
      </c>
      <c r="B18" s="491" t="s">
        <v>213</v>
      </c>
      <c r="C18" s="539">
        <v>2447</v>
      </c>
      <c r="D18" s="540">
        <v>2447</v>
      </c>
      <c r="E18" s="571">
        <v>988</v>
      </c>
      <c r="F18" s="551">
        <f t="shared" si="0"/>
        <v>29640</v>
      </c>
      <c r="G18" s="551">
        <v>10800</v>
      </c>
      <c r="H18" s="551">
        <v>11970</v>
      </c>
      <c r="I18" s="551">
        <v>10800</v>
      </c>
      <c r="J18" s="552">
        <f t="shared" si="5"/>
        <v>33570</v>
      </c>
      <c r="K18" s="585">
        <v>0</v>
      </c>
      <c r="L18" s="551">
        <f t="shared" si="2"/>
        <v>33570</v>
      </c>
      <c r="M18" s="553" t="s">
        <v>206</v>
      </c>
      <c r="N18" s="553">
        <v>3.638299657884593</v>
      </c>
      <c r="O18" s="572">
        <f t="shared" si="3"/>
        <v>122138</v>
      </c>
      <c r="P18" s="544"/>
      <c r="Q18" s="555">
        <v>12780</v>
      </c>
      <c r="R18" s="555">
        <v>9870</v>
      </c>
      <c r="S18" s="555">
        <v>15811.578947368416</v>
      </c>
      <c r="T18" s="551">
        <v>0.2036</v>
      </c>
      <c r="U18" s="554">
        <f t="shared" si="6"/>
        <v>7830.7774736842093</v>
      </c>
      <c r="V18" s="544"/>
      <c r="W18" s="556">
        <v>0</v>
      </c>
      <c r="X18" s="557">
        <v>420</v>
      </c>
      <c r="Y18" s="557">
        <v>0</v>
      </c>
      <c r="Z18" s="551">
        <v>1.7611399999999999</v>
      </c>
      <c r="AA18" s="558">
        <f t="shared" si="7"/>
        <v>739.67880000000002</v>
      </c>
      <c r="AB18" s="540"/>
      <c r="AC18" s="559"/>
      <c r="AD18" s="560"/>
      <c r="AE18" s="573"/>
      <c r="AF18" s="560"/>
      <c r="AG18" s="574"/>
      <c r="AH18" s="540"/>
      <c r="AI18" s="575"/>
      <c r="AJ18" s="576"/>
      <c r="AK18" s="577">
        <f t="shared" si="4"/>
        <v>0</v>
      </c>
      <c r="AL18" s="540"/>
      <c r="AM18" s="557">
        <v>720</v>
      </c>
      <c r="AN18" s="557">
        <v>840</v>
      </c>
      <c r="AO18" s="557">
        <v>720</v>
      </c>
      <c r="AP18" s="551">
        <v>0.2036</v>
      </c>
      <c r="AQ18" s="554">
        <f t="shared" si="8"/>
        <v>464.20800000000003</v>
      </c>
      <c r="AR18" s="540"/>
      <c r="AS18" s="578">
        <f t="shared" si="9"/>
        <v>131172.6642736842</v>
      </c>
      <c r="AT18" s="549"/>
      <c r="AU18" s="567"/>
      <c r="AV18" s="567"/>
      <c r="AW18" s="567"/>
      <c r="AX18" s="567">
        <f t="shared" si="10"/>
        <v>131172.6642736842</v>
      </c>
      <c r="AZ18" s="568"/>
      <c r="BA18" s="569"/>
      <c r="BB18" s="480">
        <f t="shared" si="11"/>
        <v>26</v>
      </c>
      <c r="BE18" s="480">
        <v>7830.7774736842093</v>
      </c>
      <c r="BF18" s="570">
        <f t="shared" si="12"/>
        <v>0</v>
      </c>
    </row>
    <row r="19" spans="1:58" ht="15" x14ac:dyDescent="0.25">
      <c r="A19" s="538" t="s">
        <v>23</v>
      </c>
      <c r="B19" s="491" t="s">
        <v>214</v>
      </c>
      <c r="C19" s="539">
        <v>2512</v>
      </c>
      <c r="D19" s="540">
        <v>2512</v>
      </c>
      <c r="E19" s="571">
        <v>570</v>
      </c>
      <c r="F19" s="551">
        <f t="shared" si="0"/>
        <v>17100</v>
      </c>
      <c r="G19" s="551">
        <v>5796</v>
      </c>
      <c r="H19" s="551">
        <v>4200</v>
      </c>
      <c r="I19" s="551">
        <v>3816</v>
      </c>
      <c r="J19" s="552">
        <f t="shared" si="5"/>
        <v>13812</v>
      </c>
      <c r="K19" s="551">
        <f t="shared" si="1"/>
        <v>3288</v>
      </c>
      <c r="L19" s="551">
        <f t="shared" si="2"/>
        <v>13812</v>
      </c>
      <c r="M19" s="553" t="s">
        <v>206</v>
      </c>
      <c r="N19" s="553">
        <v>3.638299657884593</v>
      </c>
      <c r="O19" s="572">
        <f t="shared" si="3"/>
        <v>50252</v>
      </c>
      <c r="P19" s="544"/>
      <c r="Q19" s="555">
        <v>360</v>
      </c>
      <c r="R19" s="555">
        <v>0</v>
      </c>
      <c r="S19" s="555">
        <v>1222.1052631578948</v>
      </c>
      <c r="T19" s="551">
        <v>0.2036</v>
      </c>
      <c r="U19" s="554">
        <f t="shared" si="6"/>
        <v>322.11663157894736</v>
      </c>
      <c r="V19" s="544"/>
      <c r="W19" s="556">
        <v>0</v>
      </c>
      <c r="X19" s="557">
        <v>0</v>
      </c>
      <c r="Y19" s="557">
        <v>0</v>
      </c>
      <c r="Z19" s="551">
        <v>1.7611399999999999</v>
      </c>
      <c r="AA19" s="558">
        <f t="shared" si="7"/>
        <v>0</v>
      </c>
      <c r="AB19" s="540"/>
      <c r="AC19" s="559"/>
      <c r="AD19" s="560"/>
      <c r="AE19" s="573"/>
      <c r="AF19" s="560"/>
      <c r="AG19" s="574"/>
      <c r="AH19" s="540"/>
      <c r="AI19" s="575"/>
      <c r="AJ19" s="576"/>
      <c r="AK19" s="577">
        <f t="shared" si="4"/>
        <v>0</v>
      </c>
      <c r="AL19" s="540"/>
      <c r="AM19" s="557">
        <v>1080</v>
      </c>
      <c r="AN19" s="557">
        <v>1890</v>
      </c>
      <c r="AO19" s="557">
        <v>1080</v>
      </c>
      <c r="AP19" s="551">
        <v>0.2036</v>
      </c>
      <c r="AQ19" s="554">
        <f t="shared" si="8"/>
        <v>824.58</v>
      </c>
      <c r="AR19" s="540"/>
      <c r="AS19" s="578">
        <f t="shared" si="9"/>
        <v>51398.696631578947</v>
      </c>
      <c r="AT19" s="549"/>
      <c r="AU19" s="567"/>
      <c r="AV19" s="567"/>
      <c r="AW19" s="567"/>
      <c r="AX19" s="567">
        <f t="shared" si="10"/>
        <v>51398.696631578947</v>
      </c>
      <c r="AZ19" s="568"/>
      <c r="BA19" s="569"/>
      <c r="BB19" s="480">
        <f t="shared" si="11"/>
        <v>15</v>
      </c>
      <c r="BE19" s="480">
        <v>322.11663157894736</v>
      </c>
      <c r="BF19" s="570">
        <f t="shared" si="12"/>
        <v>0</v>
      </c>
    </row>
    <row r="20" spans="1:58" ht="15" x14ac:dyDescent="0.25">
      <c r="A20" s="538" t="s">
        <v>24</v>
      </c>
      <c r="B20" s="491" t="s">
        <v>215</v>
      </c>
      <c r="C20" s="539">
        <v>2456</v>
      </c>
      <c r="D20" s="540">
        <v>2456</v>
      </c>
      <c r="E20" s="571">
        <v>988</v>
      </c>
      <c r="F20" s="551">
        <f t="shared" si="0"/>
        <v>29640</v>
      </c>
      <c r="G20" s="551">
        <v>8640</v>
      </c>
      <c r="H20" s="551">
        <v>7350</v>
      </c>
      <c r="I20" s="551">
        <v>7200</v>
      </c>
      <c r="J20" s="552">
        <f t="shared" si="5"/>
        <v>23190</v>
      </c>
      <c r="K20" s="551">
        <f t="shared" si="1"/>
        <v>6450</v>
      </c>
      <c r="L20" s="551">
        <f t="shared" si="2"/>
        <v>23190</v>
      </c>
      <c r="M20" s="553" t="s">
        <v>206</v>
      </c>
      <c r="N20" s="553">
        <v>3.638299657884593</v>
      </c>
      <c r="O20" s="572">
        <f t="shared" si="3"/>
        <v>84372</v>
      </c>
      <c r="P20" s="544"/>
      <c r="Q20" s="555">
        <v>4500</v>
      </c>
      <c r="R20" s="555">
        <v>2100</v>
      </c>
      <c r="S20" s="555">
        <v>3306.3157894736842</v>
      </c>
      <c r="T20" s="551">
        <v>0.2036</v>
      </c>
      <c r="U20" s="554">
        <f t="shared" si="6"/>
        <v>2016.9258947368419</v>
      </c>
      <c r="V20" s="544"/>
      <c r="W20" s="556">
        <v>180</v>
      </c>
      <c r="X20" s="557">
        <v>0</v>
      </c>
      <c r="Y20" s="557">
        <v>180</v>
      </c>
      <c r="Z20" s="551">
        <v>1.7611399999999999</v>
      </c>
      <c r="AA20" s="558">
        <f t="shared" si="7"/>
        <v>634.0104</v>
      </c>
      <c r="AB20" s="540"/>
      <c r="AC20" s="559"/>
      <c r="AD20" s="560"/>
      <c r="AE20" s="573"/>
      <c r="AF20" s="560"/>
      <c r="AG20" s="574"/>
      <c r="AH20" s="540"/>
      <c r="AI20" s="575"/>
      <c r="AJ20" s="576"/>
      <c r="AK20" s="577">
        <f t="shared" si="4"/>
        <v>0</v>
      </c>
      <c r="AL20" s="540"/>
      <c r="AM20" s="557">
        <v>3780</v>
      </c>
      <c r="AN20" s="557">
        <v>2100</v>
      </c>
      <c r="AO20" s="557">
        <v>3780</v>
      </c>
      <c r="AP20" s="551">
        <v>0.2036</v>
      </c>
      <c r="AQ20" s="554">
        <f t="shared" si="8"/>
        <v>1966.7760000000001</v>
      </c>
      <c r="AR20" s="540"/>
      <c r="AS20" s="578">
        <f t="shared" si="9"/>
        <v>88989.712294736848</v>
      </c>
      <c r="AT20" s="549"/>
      <c r="AU20" s="567"/>
      <c r="AV20" s="567"/>
      <c r="AW20" s="567"/>
      <c r="AX20" s="567">
        <f t="shared" si="10"/>
        <v>88989.712294736848</v>
      </c>
      <c r="AZ20" s="568"/>
      <c r="BA20" s="569"/>
      <c r="BB20" s="480">
        <f t="shared" si="11"/>
        <v>26</v>
      </c>
      <c r="BE20" s="480">
        <v>2016.9258947368419</v>
      </c>
      <c r="BF20" s="570">
        <f t="shared" si="12"/>
        <v>0</v>
      </c>
    </row>
    <row r="21" spans="1:58" ht="15" x14ac:dyDescent="0.25">
      <c r="A21" s="538" t="s">
        <v>3</v>
      </c>
      <c r="B21" s="491" t="s">
        <v>216</v>
      </c>
      <c r="C21" s="539">
        <v>1017</v>
      </c>
      <c r="D21" s="540">
        <v>1017</v>
      </c>
      <c r="E21" s="571">
        <v>1520</v>
      </c>
      <c r="F21" s="551">
        <f t="shared" si="0"/>
        <v>45600</v>
      </c>
      <c r="G21" s="551">
        <v>5580</v>
      </c>
      <c r="H21" s="551">
        <v>3234</v>
      </c>
      <c r="I21" s="551">
        <v>5184</v>
      </c>
      <c r="J21" s="552">
        <f t="shared" si="5"/>
        <v>13998</v>
      </c>
      <c r="K21" s="551">
        <f t="shared" si="1"/>
        <v>31602</v>
      </c>
      <c r="L21" s="551">
        <f t="shared" si="2"/>
        <v>13998</v>
      </c>
      <c r="M21" s="553" t="s">
        <v>203</v>
      </c>
      <c r="N21" s="553">
        <v>5.5991996578845935</v>
      </c>
      <c r="O21" s="572">
        <f t="shared" si="3"/>
        <v>78378</v>
      </c>
      <c r="P21" s="544"/>
      <c r="Q21" s="555">
        <v>9648</v>
      </c>
      <c r="R21" s="555">
        <v>4200</v>
      </c>
      <c r="S21" s="555">
        <v>8376.6315789473665</v>
      </c>
      <c r="T21" s="551">
        <v>0.2036</v>
      </c>
      <c r="U21" s="554">
        <f t="shared" si="6"/>
        <v>4524.9349894736843</v>
      </c>
      <c r="V21" s="544"/>
      <c r="W21" s="556">
        <v>0</v>
      </c>
      <c r="X21" s="557">
        <v>0</v>
      </c>
      <c r="Y21" s="557">
        <v>0</v>
      </c>
      <c r="Z21" s="551">
        <v>1.7611399999999999</v>
      </c>
      <c r="AA21" s="558">
        <f t="shared" si="7"/>
        <v>0</v>
      </c>
      <c r="AB21" s="540"/>
      <c r="AC21" s="559"/>
      <c r="AD21" s="560"/>
      <c r="AE21" s="573"/>
      <c r="AF21" s="560"/>
      <c r="AG21" s="574">
        <v>0</v>
      </c>
      <c r="AH21" s="540"/>
      <c r="AI21" s="575">
        <v>1</v>
      </c>
      <c r="AJ21" s="576">
        <v>100000</v>
      </c>
      <c r="AK21" s="577">
        <f t="shared" si="4"/>
        <v>100000</v>
      </c>
      <c r="AL21" s="540"/>
      <c r="AM21" s="557">
        <v>1440</v>
      </c>
      <c r="AN21" s="557">
        <v>0</v>
      </c>
      <c r="AO21" s="557">
        <v>1440</v>
      </c>
      <c r="AP21" s="551">
        <v>0.2036</v>
      </c>
      <c r="AQ21" s="554">
        <f t="shared" si="8"/>
        <v>586.36800000000005</v>
      </c>
      <c r="AR21" s="540"/>
      <c r="AS21" s="578">
        <f t="shared" si="9"/>
        <v>183489.30298947368</v>
      </c>
      <c r="AT21" s="549"/>
      <c r="AU21" s="567">
        <v>-3495.38</v>
      </c>
      <c r="AV21" s="567"/>
      <c r="AW21" s="579">
        <v>9860</v>
      </c>
      <c r="AX21" s="567">
        <f t="shared" si="10"/>
        <v>189853.92298947368</v>
      </c>
      <c r="AZ21" s="568"/>
      <c r="BA21" s="569"/>
      <c r="BB21" s="480">
        <f t="shared" si="11"/>
        <v>40</v>
      </c>
      <c r="BE21" s="480">
        <v>4524.9349894736843</v>
      </c>
      <c r="BF21" s="570">
        <f t="shared" si="12"/>
        <v>0</v>
      </c>
    </row>
    <row r="22" spans="1:58" ht="15" x14ac:dyDescent="0.25">
      <c r="A22" s="538" t="s">
        <v>25</v>
      </c>
      <c r="B22" s="491" t="s">
        <v>217</v>
      </c>
      <c r="C22" s="539">
        <v>2449</v>
      </c>
      <c r="D22" s="540">
        <v>2449</v>
      </c>
      <c r="E22" s="571">
        <v>1482</v>
      </c>
      <c r="F22" s="551">
        <f t="shared" si="0"/>
        <v>44460</v>
      </c>
      <c r="G22" s="551">
        <v>14040</v>
      </c>
      <c r="H22" s="551">
        <v>12390</v>
      </c>
      <c r="I22" s="551">
        <v>13860</v>
      </c>
      <c r="J22" s="552">
        <f t="shared" si="5"/>
        <v>40290</v>
      </c>
      <c r="K22" s="551">
        <f t="shared" si="1"/>
        <v>4170</v>
      </c>
      <c r="L22" s="551">
        <f t="shared" si="2"/>
        <v>40290</v>
      </c>
      <c r="M22" s="553" t="s">
        <v>206</v>
      </c>
      <c r="N22" s="553">
        <v>3.638299657884593</v>
      </c>
      <c r="O22" s="572">
        <f t="shared" si="3"/>
        <v>146587</v>
      </c>
      <c r="P22" s="544"/>
      <c r="Q22" s="555">
        <v>7380</v>
      </c>
      <c r="R22" s="555">
        <v>7770</v>
      </c>
      <c r="S22" s="555">
        <v>8568.9473684210534</v>
      </c>
      <c r="T22" s="551">
        <v>0.2036</v>
      </c>
      <c r="U22" s="554">
        <f t="shared" si="6"/>
        <v>4829.1776842105264</v>
      </c>
      <c r="V22" s="544"/>
      <c r="W22" s="556">
        <v>0</v>
      </c>
      <c r="X22" s="557">
        <v>210</v>
      </c>
      <c r="Y22" s="557">
        <v>0</v>
      </c>
      <c r="Z22" s="551">
        <v>1.7611399999999999</v>
      </c>
      <c r="AA22" s="558">
        <f t="shared" si="7"/>
        <v>369.83940000000001</v>
      </c>
      <c r="AB22" s="540"/>
      <c r="AC22" s="559"/>
      <c r="AD22" s="560"/>
      <c r="AE22" s="573"/>
      <c r="AF22" s="560"/>
      <c r="AG22" s="574"/>
      <c r="AH22" s="540"/>
      <c r="AI22" s="575"/>
      <c r="AJ22" s="576"/>
      <c r="AK22" s="577">
        <f t="shared" si="4"/>
        <v>0</v>
      </c>
      <c r="AL22" s="540"/>
      <c r="AM22" s="557">
        <v>0</v>
      </c>
      <c r="AN22" s="557">
        <v>0</v>
      </c>
      <c r="AO22" s="557">
        <v>0</v>
      </c>
      <c r="AP22" s="551">
        <v>0.2036</v>
      </c>
      <c r="AQ22" s="554">
        <f t="shared" si="8"/>
        <v>0</v>
      </c>
      <c r="AR22" s="540"/>
      <c r="AS22" s="578">
        <f t="shared" si="9"/>
        <v>151786.01708421053</v>
      </c>
      <c r="AT22" s="549"/>
      <c r="AU22" s="567"/>
      <c r="AV22" s="567"/>
      <c r="AW22" s="586"/>
      <c r="AX22" s="567">
        <f t="shared" si="10"/>
        <v>151786.01708421053</v>
      </c>
      <c r="AZ22" s="568"/>
      <c r="BA22" s="569"/>
      <c r="BB22" s="480">
        <f t="shared" si="11"/>
        <v>39</v>
      </c>
      <c r="BE22" s="480">
        <v>4829.1776842105264</v>
      </c>
      <c r="BF22" s="570">
        <f t="shared" si="12"/>
        <v>0</v>
      </c>
    </row>
    <row r="23" spans="1:58" ht="15" x14ac:dyDescent="0.25">
      <c r="A23" s="538" t="s">
        <v>4</v>
      </c>
      <c r="B23" s="491" t="s">
        <v>218</v>
      </c>
      <c r="C23" s="539">
        <v>1006</v>
      </c>
      <c r="D23" s="540">
        <v>1006</v>
      </c>
      <c r="E23" s="571">
        <v>1976</v>
      </c>
      <c r="F23" s="551">
        <f t="shared" si="0"/>
        <v>59280</v>
      </c>
      <c r="G23" s="551">
        <v>12060</v>
      </c>
      <c r="H23" s="551">
        <v>9030</v>
      </c>
      <c r="I23" s="551">
        <v>9540</v>
      </c>
      <c r="J23" s="552">
        <f t="shared" si="5"/>
        <v>30630</v>
      </c>
      <c r="K23" s="551">
        <f t="shared" si="1"/>
        <v>28650</v>
      </c>
      <c r="L23" s="551">
        <f t="shared" si="2"/>
        <v>30630</v>
      </c>
      <c r="M23" s="553" t="s">
        <v>203</v>
      </c>
      <c r="N23" s="553">
        <v>5.5991996578845935</v>
      </c>
      <c r="O23" s="572">
        <f t="shared" si="3"/>
        <v>171503</v>
      </c>
      <c r="P23" s="544"/>
      <c r="Q23" s="555">
        <v>11700</v>
      </c>
      <c r="R23" s="555">
        <v>6888</v>
      </c>
      <c r="S23" s="555">
        <v>17099.052631578947</v>
      </c>
      <c r="T23" s="551">
        <v>0.2036</v>
      </c>
      <c r="U23" s="554">
        <f t="shared" si="6"/>
        <v>7265.8839157894736</v>
      </c>
      <c r="V23" s="544"/>
      <c r="W23" s="556">
        <v>180</v>
      </c>
      <c r="X23" s="557">
        <v>210</v>
      </c>
      <c r="Y23" s="557">
        <v>180</v>
      </c>
      <c r="Z23" s="551">
        <v>1.7611399999999999</v>
      </c>
      <c r="AA23" s="558">
        <f t="shared" si="7"/>
        <v>1003.8498</v>
      </c>
      <c r="AB23" s="540"/>
      <c r="AC23" s="559">
        <v>142055</v>
      </c>
      <c r="AD23" s="560"/>
      <c r="AE23" s="573"/>
      <c r="AF23" s="560"/>
      <c r="AG23" s="574">
        <v>900.97499999999991</v>
      </c>
      <c r="AH23" s="540"/>
      <c r="AI23" s="575">
        <v>1</v>
      </c>
      <c r="AJ23" s="576">
        <v>100000</v>
      </c>
      <c r="AK23" s="577">
        <f t="shared" si="4"/>
        <v>100000</v>
      </c>
      <c r="AL23" s="540"/>
      <c r="AM23" s="557">
        <v>972</v>
      </c>
      <c r="AN23" s="557">
        <v>0</v>
      </c>
      <c r="AO23" s="557">
        <v>972</v>
      </c>
      <c r="AP23" s="551">
        <v>0.2036</v>
      </c>
      <c r="AQ23" s="554">
        <f t="shared" si="8"/>
        <v>395.79840000000002</v>
      </c>
      <c r="AR23" s="540"/>
      <c r="AS23" s="578">
        <f t="shared" si="9"/>
        <v>423124.50711578946</v>
      </c>
      <c r="AT23" s="549"/>
      <c r="AU23" s="567">
        <v>-5080.5199999999995</v>
      </c>
      <c r="AV23" s="567"/>
      <c r="AW23" s="579">
        <v>11339</v>
      </c>
      <c r="AX23" s="567">
        <f t="shared" si="10"/>
        <v>429382.98711578944</v>
      </c>
      <c r="AZ23" s="568"/>
      <c r="BA23" s="569"/>
      <c r="BB23" s="480">
        <f t="shared" si="11"/>
        <v>52</v>
      </c>
      <c r="BE23" s="480">
        <v>7265.8839157894736</v>
      </c>
      <c r="BF23" s="570">
        <f t="shared" si="12"/>
        <v>0</v>
      </c>
    </row>
    <row r="24" spans="1:58" ht="15" x14ac:dyDescent="0.25">
      <c r="A24" s="538" t="s">
        <v>27</v>
      </c>
      <c r="B24" s="491" t="s">
        <v>219</v>
      </c>
      <c r="C24" s="539">
        <v>2467</v>
      </c>
      <c r="D24" s="540">
        <v>2467</v>
      </c>
      <c r="E24" s="571">
        <v>988</v>
      </c>
      <c r="F24" s="551">
        <f t="shared" si="0"/>
        <v>29640</v>
      </c>
      <c r="G24" s="551">
        <v>8460</v>
      </c>
      <c r="H24" s="551">
        <v>7350</v>
      </c>
      <c r="I24" s="551">
        <v>8190</v>
      </c>
      <c r="J24" s="552">
        <f t="shared" si="5"/>
        <v>24000</v>
      </c>
      <c r="K24" s="551">
        <f t="shared" si="1"/>
        <v>5640</v>
      </c>
      <c r="L24" s="551">
        <f t="shared" si="2"/>
        <v>24000</v>
      </c>
      <c r="M24" s="553" t="s">
        <v>206</v>
      </c>
      <c r="N24" s="553">
        <v>3.638299657884593</v>
      </c>
      <c r="O24" s="572">
        <f t="shared" si="3"/>
        <v>87319</v>
      </c>
      <c r="P24" s="544"/>
      <c r="Q24" s="555">
        <v>5688</v>
      </c>
      <c r="R24" s="555">
        <v>5250</v>
      </c>
      <c r="S24" s="555">
        <v>9970.105263157895</v>
      </c>
      <c r="T24" s="551">
        <v>0.2036</v>
      </c>
      <c r="U24" s="554">
        <f t="shared" si="6"/>
        <v>4256.8902315789474</v>
      </c>
      <c r="V24" s="544"/>
      <c r="W24" s="556">
        <v>180</v>
      </c>
      <c r="X24" s="557">
        <v>0</v>
      </c>
      <c r="Y24" s="557">
        <v>180</v>
      </c>
      <c r="Z24" s="551">
        <v>1.7611399999999999</v>
      </c>
      <c r="AA24" s="558">
        <f t="shared" si="7"/>
        <v>634.0104</v>
      </c>
      <c r="AB24" s="540"/>
      <c r="AC24" s="559"/>
      <c r="AD24" s="560"/>
      <c r="AE24" s="573"/>
      <c r="AF24" s="560"/>
      <c r="AG24" s="574"/>
      <c r="AH24" s="540"/>
      <c r="AI24" s="575"/>
      <c r="AJ24" s="576"/>
      <c r="AK24" s="577">
        <f t="shared" si="4"/>
        <v>0</v>
      </c>
      <c r="AL24" s="540"/>
      <c r="AM24" s="557">
        <v>108</v>
      </c>
      <c r="AN24" s="557">
        <v>210</v>
      </c>
      <c r="AO24" s="557">
        <v>108</v>
      </c>
      <c r="AP24" s="551">
        <v>0.2036</v>
      </c>
      <c r="AQ24" s="554">
        <f t="shared" si="8"/>
        <v>86.733599999999996</v>
      </c>
      <c r="AR24" s="540"/>
      <c r="AS24" s="578">
        <f t="shared" si="9"/>
        <v>92296.634231578952</v>
      </c>
      <c r="AT24" s="549"/>
      <c r="AU24" s="567"/>
      <c r="AV24" s="567"/>
      <c r="AW24" s="567"/>
      <c r="AX24" s="567">
        <f t="shared" si="10"/>
        <v>92296.634231578952</v>
      </c>
      <c r="AZ24" s="568"/>
      <c r="BA24" s="569"/>
      <c r="BB24" s="480">
        <f t="shared" si="11"/>
        <v>26</v>
      </c>
      <c r="BE24" s="480">
        <v>4256.8902315789474</v>
      </c>
      <c r="BF24" s="570">
        <f t="shared" si="12"/>
        <v>0</v>
      </c>
    </row>
    <row r="25" spans="1:58" ht="15" x14ac:dyDescent="0.25">
      <c r="A25" s="583" t="s">
        <v>30</v>
      </c>
      <c r="B25" s="489" t="s">
        <v>220</v>
      </c>
      <c r="C25" s="584">
        <v>2451</v>
      </c>
      <c r="D25" s="540">
        <v>2451</v>
      </c>
      <c r="E25" s="571">
        <v>988</v>
      </c>
      <c r="F25" s="551">
        <f t="shared" si="0"/>
        <v>29640</v>
      </c>
      <c r="G25" s="551">
        <v>9360</v>
      </c>
      <c r="H25" s="551">
        <v>10920</v>
      </c>
      <c r="I25" s="551">
        <v>9360</v>
      </c>
      <c r="J25" s="552">
        <f t="shared" si="5"/>
        <v>29640</v>
      </c>
      <c r="K25" s="551">
        <f t="shared" si="1"/>
        <v>0</v>
      </c>
      <c r="L25" s="551">
        <f t="shared" si="2"/>
        <v>29640</v>
      </c>
      <c r="M25" s="553" t="s">
        <v>206</v>
      </c>
      <c r="N25" s="553">
        <v>3.638299657884593</v>
      </c>
      <c r="O25" s="572">
        <f t="shared" si="3"/>
        <v>107839</v>
      </c>
      <c r="P25" s="544"/>
      <c r="Q25" s="555">
        <v>5364</v>
      </c>
      <c r="R25" s="555">
        <v>6720</v>
      </c>
      <c r="S25" s="555">
        <v>7571.3684210526326</v>
      </c>
      <c r="T25" s="551">
        <v>0.2036</v>
      </c>
      <c r="U25" s="554">
        <f t="shared" si="6"/>
        <v>4001.8330105263162</v>
      </c>
      <c r="V25" s="544"/>
      <c r="W25" s="556">
        <v>0</v>
      </c>
      <c r="X25" s="557">
        <v>0</v>
      </c>
      <c r="Y25" s="557">
        <v>0</v>
      </c>
      <c r="Z25" s="551">
        <v>1.7611399999999999</v>
      </c>
      <c r="AA25" s="558">
        <f t="shared" si="7"/>
        <v>0</v>
      </c>
      <c r="AB25" s="540"/>
      <c r="AC25" s="559"/>
      <c r="AD25" s="560"/>
      <c r="AE25" s="573"/>
      <c r="AF25" s="560"/>
      <c r="AG25" s="574"/>
      <c r="AH25" s="540"/>
      <c r="AI25" s="575"/>
      <c r="AJ25" s="576"/>
      <c r="AK25" s="577">
        <f t="shared" si="4"/>
        <v>0</v>
      </c>
      <c r="AL25" s="540"/>
      <c r="AM25" s="557">
        <v>180</v>
      </c>
      <c r="AN25" s="557">
        <v>0</v>
      </c>
      <c r="AO25" s="557">
        <v>180</v>
      </c>
      <c r="AP25" s="551">
        <v>0.2036</v>
      </c>
      <c r="AQ25" s="554">
        <f t="shared" si="8"/>
        <v>73.296000000000006</v>
      </c>
      <c r="AR25" s="540"/>
      <c r="AS25" s="578">
        <f t="shared" si="9"/>
        <v>111914.12901052632</v>
      </c>
      <c r="AT25" s="549"/>
      <c r="AU25" s="567"/>
      <c r="AV25" s="567"/>
      <c r="AW25" s="567"/>
      <c r="AX25" s="567">
        <f t="shared" si="10"/>
        <v>111914.12901052632</v>
      </c>
      <c r="AZ25" s="568"/>
      <c r="BA25" s="569"/>
      <c r="BB25" s="480">
        <f t="shared" si="11"/>
        <v>26</v>
      </c>
      <c r="BE25" s="480">
        <v>4001.8330105263162</v>
      </c>
      <c r="BF25" s="570">
        <f t="shared" si="12"/>
        <v>0</v>
      </c>
    </row>
    <row r="26" spans="1:58" ht="15" x14ac:dyDescent="0.25">
      <c r="A26" s="538" t="s">
        <v>32</v>
      </c>
      <c r="B26" s="491" t="s">
        <v>221</v>
      </c>
      <c r="C26" s="539">
        <v>2619</v>
      </c>
      <c r="D26" s="540">
        <v>2619</v>
      </c>
      <c r="E26" s="571">
        <v>1482</v>
      </c>
      <c r="F26" s="551">
        <f t="shared" si="0"/>
        <v>44460</v>
      </c>
      <c r="G26" s="551">
        <v>8073</v>
      </c>
      <c r="H26" s="551">
        <v>5250</v>
      </c>
      <c r="I26" s="551">
        <v>4320</v>
      </c>
      <c r="J26" s="552">
        <f t="shared" si="5"/>
        <v>17643</v>
      </c>
      <c r="K26" s="551">
        <f t="shared" si="1"/>
        <v>26817</v>
      </c>
      <c r="L26" s="551">
        <f t="shared" si="2"/>
        <v>17643</v>
      </c>
      <c r="M26" s="553" t="s">
        <v>206</v>
      </c>
      <c r="N26" s="553">
        <v>3.638299657884593</v>
      </c>
      <c r="O26" s="572">
        <f t="shared" si="3"/>
        <v>64191</v>
      </c>
      <c r="P26" s="544"/>
      <c r="Q26" s="555">
        <v>21060</v>
      </c>
      <c r="R26" s="555">
        <v>15960</v>
      </c>
      <c r="S26" s="555">
        <v>14344.105263157895</v>
      </c>
      <c r="T26" s="551">
        <v>0.2036</v>
      </c>
      <c r="U26" s="554">
        <f t="shared" si="6"/>
        <v>10457.731831578947</v>
      </c>
      <c r="V26" s="544"/>
      <c r="W26" s="556">
        <v>540</v>
      </c>
      <c r="X26" s="557">
        <v>840</v>
      </c>
      <c r="Y26" s="557">
        <v>540</v>
      </c>
      <c r="Z26" s="551">
        <v>1.7611399999999999</v>
      </c>
      <c r="AA26" s="558">
        <f t="shared" si="7"/>
        <v>3381.3887999999997</v>
      </c>
      <c r="AB26" s="540"/>
      <c r="AC26" s="559"/>
      <c r="AD26" s="560"/>
      <c r="AE26" s="573"/>
      <c r="AF26" s="560"/>
      <c r="AG26" s="574"/>
      <c r="AH26" s="540"/>
      <c r="AI26" s="575"/>
      <c r="AJ26" s="576"/>
      <c r="AK26" s="577">
        <f t="shared" si="4"/>
        <v>0</v>
      </c>
      <c r="AL26" s="540"/>
      <c r="AM26" s="557">
        <v>1980</v>
      </c>
      <c r="AN26" s="557">
        <v>1470</v>
      </c>
      <c r="AO26" s="557">
        <v>1980</v>
      </c>
      <c r="AP26" s="551">
        <v>0.2036</v>
      </c>
      <c r="AQ26" s="554">
        <f t="shared" si="8"/>
        <v>1105.548</v>
      </c>
      <c r="AR26" s="540"/>
      <c r="AS26" s="578">
        <f t="shared" si="9"/>
        <v>79135.668631578941</v>
      </c>
      <c r="AT26" s="549"/>
      <c r="AU26" s="567"/>
      <c r="AV26" s="567"/>
      <c r="AW26" s="567"/>
      <c r="AX26" s="567">
        <f t="shared" si="10"/>
        <v>79135.668631578941</v>
      </c>
      <c r="AZ26" s="568"/>
      <c r="BA26" s="569"/>
      <c r="BB26" s="480">
        <f t="shared" si="11"/>
        <v>39</v>
      </c>
      <c r="BE26" s="480">
        <v>10457.731831578947</v>
      </c>
      <c r="BF26" s="570">
        <f t="shared" si="12"/>
        <v>0</v>
      </c>
    </row>
    <row r="27" spans="1:58" ht="15" x14ac:dyDescent="0.25">
      <c r="A27" s="538" t="s">
        <v>33</v>
      </c>
      <c r="B27" s="491" t="s">
        <v>222</v>
      </c>
      <c r="C27" s="539">
        <v>2518</v>
      </c>
      <c r="D27" s="540">
        <v>2518</v>
      </c>
      <c r="E27" s="571">
        <v>1482</v>
      </c>
      <c r="F27" s="551">
        <f t="shared" si="0"/>
        <v>44460</v>
      </c>
      <c r="G27" s="551">
        <v>4320</v>
      </c>
      <c r="H27" s="551">
        <v>1470</v>
      </c>
      <c r="I27" s="551">
        <v>1440</v>
      </c>
      <c r="J27" s="552">
        <f t="shared" si="5"/>
        <v>7230</v>
      </c>
      <c r="K27" s="551">
        <f t="shared" si="1"/>
        <v>37230</v>
      </c>
      <c r="L27" s="551">
        <f t="shared" si="2"/>
        <v>7230</v>
      </c>
      <c r="M27" s="553" t="s">
        <v>206</v>
      </c>
      <c r="N27" s="553">
        <v>3.638299657884593</v>
      </c>
      <c r="O27" s="572">
        <f t="shared" si="3"/>
        <v>26305</v>
      </c>
      <c r="P27" s="544"/>
      <c r="Q27" s="555">
        <v>8640</v>
      </c>
      <c r="R27" s="555">
        <v>6720</v>
      </c>
      <c r="S27" s="555">
        <v>8289.4736842105267</v>
      </c>
      <c r="T27" s="551">
        <v>0.2036</v>
      </c>
      <c r="U27" s="554">
        <f t="shared" si="6"/>
        <v>4815.0328421052636</v>
      </c>
      <c r="V27" s="544"/>
      <c r="W27" s="556">
        <v>540</v>
      </c>
      <c r="X27" s="557">
        <v>0</v>
      </c>
      <c r="Y27" s="557">
        <v>540</v>
      </c>
      <c r="Z27" s="551">
        <v>1.7611399999999999</v>
      </c>
      <c r="AA27" s="558">
        <f t="shared" si="7"/>
        <v>1902.0311999999999</v>
      </c>
      <c r="AB27" s="540"/>
      <c r="AC27" s="559"/>
      <c r="AD27" s="560"/>
      <c r="AE27" s="573"/>
      <c r="AF27" s="560"/>
      <c r="AG27" s="574"/>
      <c r="AH27" s="540"/>
      <c r="AI27" s="575"/>
      <c r="AJ27" s="576"/>
      <c r="AK27" s="577">
        <f t="shared" si="4"/>
        <v>0</v>
      </c>
      <c r="AL27" s="540"/>
      <c r="AM27" s="557">
        <v>2160</v>
      </c>
      <c r="AN27" s="557">
        <v>1470</v>
      </c>
      <c r="AO27" s="557">
        <v>2160</v>
      </c>
      <c r="AP27" s="551">
        <v>0.2036</v>
      </c>
      <c r="AQ27" s="554">
        <f t="shared" si="8"/>
        <v>1178.8440000000001</v>
      </c>
      <c r="AR27" s="540"/>
      <c r="AS27" s="578">
        <f t="shared" si="9"/>
        <v>34200.908042105264</v>
      </c>
      <c r="AT27" s="549"/>
      <c r="AU27" s="567"/>
      <c r="AV27" s="567"/>
      <c r="AW27" s="567"/>
      <c r="AX27" s="567">
        <f t="shared" si="10"/>
        <v>34200.908042105264</v>
      </c>
      <c r="AZ27" s="568"/>
      <c r="BA27" s="569"/>
      <c r="BB27" s="480">
        <f t="shared" si="11"/>
        <v>39</v>
      </c>
      <c r="BE27" s="480">
        <v>4815.0328421052636</v>
      </c>
      <c r="BF27" s="570">
        <f t="shared" si="12"/>
        <v>0</v>
      </c>
    </row>
    <row r="28" spans="1:58" ht="15" x14ac:dyDescent="0.25">
      <c r="A28" s="538" t="s">
        <v>752</v>
      </c>
      <c r="B28" s="491" t="s">
        <v>753</v>
      </c>
      <c r="C28" s="539">
        <v>2010</v>
      </c>
      <c r="D28" s="540">
        <v>2010</v>
      </c>
      <c r="E28" s="571">
        <v>988</v>
      </c>
      <c r="F28" s="551">
        <f t="shared" si="0"/>
        <v>29640</v>
      </c>
      <c r="G28" s="551">
        <v>7380</v>
      </c>
      <c r="H28" s="551">
        <v>5250</v>
      </c>
      <c r="I28" s="551">
        <v>5220</v>
      </c>
      <c r="J28" s="552">
        <f t="shared" si="5"/>
        <v>17850</v>
      </c>
      <c r="K28" s="551">
        <f t="shared" si="1"/>
        <v>11790</v>
      </c>
      <c r="L28" s="551">
        <f t="shared" si="2"/>
        <v>17850</v>
      </c>
      <c r="M28" s="553" t="s">
        <v>206</v>
      </c>
      <c r="N28" s="553">
        <v>3.638299657884593</v>
      </c>
      <c r="O28" s="572">
        <f t="shared" si="3"/>
        <v>64944</v>
      </c>
      <c r="P28" s="544"/>
      <c r="Q28" s="555">
        <v>19188</v>
      </c>
      <c r="R28" s="555">
        <v>12432</v>
      </c>
      <c r="S28" s="555">
        <v>12323.368421052633</v>
      </c>
      <c r="T28" s="551">
        <v>0.2036</v>
      </c>
      <c r="U28" s="554">
        <f t="shared" si="6"/>
        <v>8946.8698105263156</v>
      </c>
      <c r="V28" s="544"/>
      <c r="W28" s="556">
        <v>360</v>
      </c>
      <c r="X28" s="557">
        <v>0</v>
      </c>
      <c r="Y28" s="557">
        <v>360</v>
      </c>
      <c r="Z28" s="551">
        <v>1.7611399999999999</v>
      </c>
      <c r="AA28" s="558">
        <f t="shared" si="7"/>
        <v>1268.0208</v>
      </c>
      <c r="AB28" s="540"/>
      <c r="AC28" s="559"/>
      <c r="AD28" s="560"/>
      <c r="AE28" s="573"/>
      <c r="AF28" s="560"/>
      <c r="AG28" s="574"/>
      <c r="AH28" s="540"/>
      <c r="AI28" s="575"/>
      <c r="AJ28" s="576"/>
      <c r="AK28" s="577">
        <f t="shared" si="4"/>
        <v>0</v>
      </c>
      <c r="AL28" s="540"/>
      <c r="AM28" s="557">
        <v>3744</v>
      </c>
      <c r="AN28" s="557">
        <v>2730</v>
      </c>
      <c r="AO28" s="557">
        <v>3744</v>
      </c>
      <c r="AP28" s="551">
        <v>0.2036</v>
      </c>
      <c r="AQ28" s="554">
        <f t="shared" si="8"/>
        <v>2080.3847999999998</v>
      </c>
      <c r="AR28" s="540"/>
      <c r="AS28" s="578">
        <f t="shared" si="9"/>
        <v>77239.275410526316</v>
      </c>
      <c r="AT28" s="549"/>
      <c r="AU28" s="567"/>
      <c r="AV28" s="567"/>
      <c r="AW28" s="567"/>
      <c r="AX28" s="567">
        <f t="shared" si="10"/>
        <v>77239.275410526316</v>
      </c>
      <c r="AZ28" s="568"/>
      <c r="BA28" s="569"/>
      <c r="BB28" s="480">
        <f t="shared" si="11"/>
        <v>26</v>
      </c>
      <c r="BE28" s="480">
        <v>8946.8698105263156</v>
      </c>
      <c r="BF28" s="570">
        <f t="shared" si="12"/>
        <v>0</v>
      </c>
    </row>
    <row r="29" spans="1:58" ht="15" x14ac:dyDescent="0.25">
      <c r="A29" s="538" t="s">
        <v>35</v>
      </c>
      <c r="B29" s="491" t="s">
        <v>223</v>
      </c>
      <c r="C29" s="539">
        <v>2002</v>
      </c>
      <c r="D29" s="540">
        <v>2002</v>
      </c>
      <c r="E29" s="571">
        <v>988</v>
      </c>
      <c r="F29" s="551">
        <f t="shared" si="0"/>
        <v>29640</v>
      </c>
      <c r="G29" s="551">
        <v>9360</v>
      </c>
      <c r="H29" s="551">
        <v>8820</v>
      </c>
      <c r="I29" s="551">
        <v>8640</v>
      </c>
      <c r="J29" s="552">
        <f t="shared" si="5"/>
        <v>26820</v>
      </c>
      <c r="K29" s="551">
        <f t="shared" si="1"/>
        <v>2820</v>
      </c>
      <c r="L29" s="551">
        <f t="shared" si="2"/>
        <v>26820</v>
      </c>
      <c r="M29" s="553" t="s">
        <v>206</v>
      </c>
      <c r="N29" s="553">
        <v>3.638299657884593</v>
      </c>
      <c r="O29" s="572">
        <f t="shared" si="3"/>
        <v>97579</v>
      </c>
      <c r="P29" s="544"/>
      <c r="Q29" s="555">
        <v>540</v>
      </c>
      <c r="R29" s="555">
        <v>0</v>
      </c>
      <c r="S29" s="555">
        <v>748.42105263157896</v>
      </c>
      <c r="T29" s="551">
        <v>0.2036</v>
      </c>
      <c r="U29" s="554">
        <f t="shared" si="6"/>
        <v>262.3225263157895</v>
      </c>
      <c r="V29" s="544"/>
      <c r="W29" s="556">
        <v>180</v>
      </c>
      <c r="X29" s="557">
        <v>0</v>
      </c>
      <c r="Y29" s="557">
        <v>180</v>
      </c>
      <c r="Z29" s="551">
        <v>1.7611399999999999</v>
      </c>
      <c r="AA29" s="558">
        <f t="shared" si="7"/>
        <v>634.0104</v>
      </c>
      <c r="AB29" s="540"/>
      <c r="AC29" s="559"/>
      <c r="AD29" s="560"/>
      <c r="AE29" s="573"/>
      <c r="AF29" s="560"/>
      <c r="AG29" s="574"/>
      <c r="AH29" s="540"/>
      <c r="AI29" s="575"/>
      <c r="AJ29" s="576"/>
      <c r="AK29" s="577">
        <f t="shared" si="4"/>
        <v>0</v>
      </c>
      <c r="AL29" s="540"/>
      <c r="AM29" s="557">
        <v>360</v>
      </c>
      <c r="AN29" s="557">
        <v>1890</v>
      </c>
      <c r="AO29" s="557">
        <v>360</v>
      </c>
      <c r="AP29" s="551">
        <v>0.2036</v>
      </c>
      <c r="AQ29" s="554">
        <f t="shared" si="8"/>
        <v>531.39599999999996</v>
      </c>
      <c r="AR29" s="540"/>
      <c r="AS29" s="578">
        <f t="shared" si="9"/>
        <v>99006.728926315787</v>
      </c>
      <c r="AT29" s="549"/>
      <c r="AU29" s="567"/>
      <c r="AV29" s="567"/>
      <c r="AW29" s="567"/>
      <c r="AX29" s="567">
        <f t="shared" si="10"/>
        <v>99006.728926315787</v>
      </c>
      <c r="AZ29" s="568"/>
      <c r="BA29" s="569"/>
      <c r="BB29" s="480">
        <f t="shared" si="11"/>
        <v>26</v>
      </c>
      <c r="BE29" s="480">
        <v>262.3225263157895</v>
      </c>
      <c r="BF29" s="570">
        <f t="shared" si="12"/>
        <v>0</v>
      </c>
    </row>
    <row r="30" spans="1:58" ht="15" x14ac:dyDescent="0.25">
      <c r="A30" s="538" t="s">
        <v>36</v>
      </c>
      <c r="B30" s="491" t="s">
        <v>224</v>
      </c>
      <c r="C30" s="539">
        <v>3544</v>
      </c>
      <c r="D30" s="540">
        <v>3544</v>
      </c>
      <c r="E30" s="571">
        <v>1140</v>
      </c>
      <c r="F30" s="551">
        <f t="shared" si="0"/>
        <v>34200</v>
      </c>
      <c r="G30" s="551">
        <v>10800</v>
      </c>
      <c r="H30" s="551">
        <v>8400</v>
      </c>
      <c r="I30" s="551">
        <v>9000</v>
      </c>
      <c r="J30" s="552">
        <f t="shared" si="5"/>
        <v>28200</v>
      </c>
      <c r="K30" s="551">
        <f t="shared" si="1"/>
        <v>6000</v>
      </c>
      <c r="L30" s="551">
        <f t="shared" si="2"/>
        <v>28200</v>
      </c>
      <c r="M30" s="553" t="s">
        <v>206</v>
      </c>
      <c r="N30" s="553">
        <v>3.638299657884593</v>
      </c>
      <c r="O30" s="572">
        <f t="shared" si="3"/>
        <v>102600</v>
      </c>
      <c r="P30" s="544"/>
      <c r="Q30" s="555">
        <v>29700</v>
      </c>
      <c r="R30" s="555">
        <v>23310</v>
      </c>
      <c r="S30" s="555">
        <v>27966.315789473687</v>
      </c>
      <c r="T30" s="551">
        <v>0.2036</v>
      </c>
      <c r="U30" s="554">
        <f t="shared" si="6"/>
        <v>16486.777894736842</v>
      </c>
      <c r="V30" s="544"/>
      <c r="W30" s="556">
        <v>180</v>
      </c>
      <c r="X30" s="557">
        <v>0</v>
      </c>
      <c r="Y30" s="557">
        <v>180</v>
      </c>
      <c r="Z30" s="551">
        <v>1.7611399999999999</v>
      </c>
      <c r="AA30" s="558">
        <f t="shared" si="7"/>
        <v>634.0104</v>
      </c>
      <c r="AB30" s="540"/>
      <c r="AC30" s="559"/>
      <c r="AD30" s="560"/>
      <c r="AE30" s="573"/>
      <c r="AF30" s="560"/>
      <c r="AG30" s="574"/>
      <c r="AH30" s="540"/>
      <c r="AI30" s="575"/>
      <c r="AJ30" s="576"/>
      <c r="AK30" s="577">
        <f t="shared" si="4"/>
        <v>0</v>
      </c>
      <c r="AL30" s="540"/>
      <c r="AM30" s="557">
        <v>8460</v>
      </c>
      <c r="AN30" s="557">
        <v>6510</v>
      </c>
      <c r="AO30" s="557">
        <v>8460</v>
      </c>
      <c r="AP30" s="551">
        <v>0.2036</v>
      </c>
      <c r="AQ30" s="554">
        <f t="shared" si="8"/>
        <v>4770.348</v>
      </c>
      <c r="AR30" s="540"/>
      <c r="AS30" s="578">
        <f t="shared" si="9"/>
        <v>124491.13629473685</v>
      </c>
      <c r="AT30" s="549"/>
      <c r="AU30" s="567"/>
      <c r="AV30" s="567"/>
      <c r="AW30" s="567"/>
      <c r="AX30" s="567">
        <f t="shared" si="10"/>
        <v>124491.13629473685</v>
      </c>
      <c r="AZ30" s="568"/>
      <c r="BA30" s="569"/>
      <c r="BB30" s="480">
        <f t="shared" si="11"/>
        <v>30</v>
      </c>
      <c r="BE30" s="480">
        <v>16486.777894736842</v>
      </c>
      <c r="BF30" s="570">
        <f t="shared" si="12"/>
        <v>0</v>
      </c>
    </row>
    <row r="31" spans="1:58" ht="15" x14ac:dyDescent="0.25">
      <c r="A31" s="538" t="s">
        <v>5</v>
      </c>
      <c r="B31" s="491" t="s">
        <v>225</v>
      </c>
      <c r="C31" s="539">
        <v>1008</v>
      </c>
      <c r="D31" s="540">
        <v>1008</v>
      </c>
      <c r="E31" s="571">
        <v>1520</v>
      </c>
      <c r="F31" s="551">
        <f t="shared" si="0"/>
        <v>45600</v>
      </c>
      <c r="G31" s="551">
        <v>14400</v>
      </c>
      <c r="H31" s="551">
        <v>16380</v>
      </c>
      <c r="I31" s="551">
        <v>14400</v>
      </c>
      <c r="J31" s="552">
        <f t="shared" si="5"/>
        <v>45180</v>
      </c>
      <c r="K31" s="551">
        <f t="shared" si="1"/>
        <v>420</v>
      </c>
      <c r="L31" s="551">
        <f t="shared" si="2"/>
        <v>45180</v>
      </c>
      <c r="M31" s="553" t="s">
        <v>203</v>
      </c>
      <c r="N31" s="553">
        <v>5.5991996578845935</v>
      </c>
      <c r="O31" s="572">
        <f t="shared" si="3"/>
        <v>252972</v>
      </c>
      <c r="P31" s="544"/>
      <c r="Q31" s="555">
        <v>37440</v>
      </c>
      <c r="R31" s="555">
        <v>44100</v>
      </c>
      <c r="S31" s="555">
        <v>40187.368421052626</v>
      </c>
      <c r="T31" s="551">
        <v>0.2036</v>
      </c>
      <c r="U31" s="554">
        <f t="shared" si="6"/>
        <v>24783.692210526315</v>
      </c>
      <c r="V31" s="544"/>
      <c r="W31" s="556">
        <v>180</v>
      </c>
      <c r="X31" s="557">
        <v>630</v>
      </c>
      <c r="Y31" s="557">
        <v>180</v>
      </c>
      <c r="Z31" s="551">
        <v>1.7611399999999999</v>
      </c>
      <c r="AA31" s="558">
        <f t="shared" si="7"/>
        <v>1743.5285999999999</v>
      </c>
      <c r="AB31" s="540"/>
      <c r="AC31" s="559"/>
      <c r="AD31" s="560"/>
      <c r="AE31" s="573"/>
      <c r="AF31" s="560"/>
      <c r="AG31" s="574">
        <v>24101.081249999999</v>
      </c>
      <c r="AH31" s="540"/>
      <c r="AI31" s="575">
        <v>1</v>
      </c>
      <c r="AJ31" s="576">
        <v>100000</v>
      </c>
      <c r="AK31" s="577">
        <f t="shared" si="4"/>
        <v>100000</v>
      </c>
      <c r="AL31" s="540"/>
      <c r="AM31" s="557">
        <v>8100</v>
      </c>
      <c r="AN31" s="557">
        <v>0</v>
      </c>
      <c r="AO31" s="557">
        <v>8100</v>
      </c>
      <c r="AP31" s="551">
        <v>0.2036</v>
      </c>
      <c r="AQ31" s="554">
        <f t="shared" si="8"/>
        <v>3298.32</v>
      </c>
      <c r="AR31" s="540"/>
      <c r="AS31" s="578">
        <f t="shared" si="9"/>
        <v>406898.62206052634</v>
      </c>
      <c r="AT31" s="549"/>
      <c r="AU31" s="567">
        <v>-2310.6799999999994</v>
      </c>
      <c r="AV31" s="567"/>
      <c r="AW31" s="579">
        <v>4683.5</v>
      </c>
      <c r="AX31" s="567">
        <f t="shared" si="10"/>
        <v>409271.44206052634</v>
      </c>
      <c r="AZ31" s="568"/>
      <c r="BA31" s="569"/>
      <c r="BB31" s="480">
        <f t="shared" si="11"/>
        <v>40</v>
      </c>
      <c r="BE31" s="480">
        <v>24783.692210526315</v>
      </c>
      <c r="BF31" s="570">
        <f t="shared" si="12"/>
        <v>0</v>
      </c>
    </row>
    <row r="32" spans="1:58" ht="15" x14ac:dyDescent="0.25">
      <c r="A32" s="538" t="s">
        <v>754</v>
      </c>
      <c r="B32" s="491" t="s">
        <v>226</v>
      </c>
      <c r="C32" s="539">
        <v>2006</v>
      </c>
      <c r="D32" s="540">
        <v>2006</v>
      </c>
      <c r="E32" s="571">
        <v>988</v>
      </c>
      <c r="F32" s="551">
        <f t="shared" si="0"/>
        <v>29640</v>
      </c>
      <c r="G32" s="551">
        <v>9000</v>
      </c>
      <c r="H32" s="551">
        <v>9450</v>
      </c>
      <c r="I32" s="551">
        <v>9000</v>
      </c>
      <c r="J32" s="552">
        <f t="shared" si="5"/>
        <v>27450</v>
      </c>
      <c r="K32" s="551">
        <f t="shared" si="1"/>
        <v>2190</v>
      </c>
      <c r="L32" s="551">
        <f t="shared" si="2"/>
        <v>27450</v>
      </c>
      <c r="M32" s="553" t="s">
        <v>206</v>
      </c>
      <c r="N32" s="553">
        <v>3.638299657884593</v>
      </c>
      <c r="O32" s="572">
        <f t="shared" si="3"/>
        <v>99871</v>
      </c>
      <c r="P32" s="544"/>
      <c r="Q32" s="555">
        <v>144</v>
      </c>
      <c r="R32" s="555">
        <v>126</v>
      </c>
      <c r="S32" s="555">
        <v>1299.7894736842104</v>
      </c>
      <c r="T32" s="551">
        <v>0.2036</v>
      </c>
      <c r="U32" s="554">
        <f t="shared" si="6"/>
        <v>319.60913684210527</v>
      </c>
      <c r="V32" s="544"/>
      <c r="W32" s="556">
        <v>0</v>
      </c>
      <c r="X32" s="557">
        <v>210</v>
      </c>
      <c r="Y32" s="557">
        <v>0</v>
      </c>
      <c r="Z32" s="551">
        <v>1.7611399999999999</v>
      </c>
      <c r="AA32" s="558">
        <f t="shared" si="7"/>
        <v>369.83940000000001</v>
      </c>
      <c r="AB32" s="540"/>
      <c r="AC32" s="559"/>
      <c r="AD32" s="560"/>
      <c r="AE32" s="573"/>
      <c r="AF32" s="560"/>
      <c r="AG32" s="574"/>
      <c r="AH32" s="540"/>
      <c r="AI32" s="575"/>
      <c r="AJ32" s="576"/>
      <c r="AK32" s="577">
        <f t="shared" si="4"/>
        <v>0</v>
      </c>
      <c r="AL32" s="540"/>
      <c r="AM32" s="557">
        <v>360</v>
      </c>
      <c r="AN32" s="557">
        <v>1470</v>
      </c>
      <c r="AO32" s="557">
        <v>360</v>
      </c>
      <c r="AP32" s="551">
        <v>0.2036</v>
      </c>
      <c r="AQ32" s="554">
        <f t="shared" si="8"/>
        <v>445.88400000000001</v>
      </c>
      <c r="AR32" s="540"/>
      <c r="AS32" s="578">
        <f t="shared" si="9"/>
        <v>101006.33253684211</v>
      </c>
      <c r="AT32" s="549"/>
      <c r="AU32" s="567"/>
      <c r="AV32" s="567"/>
      <c r="AW32" s="586"/>
      <c r="AX32" s="567">
        <f t="shared" si="10"/>
        <v>101006.33253684211</v>
      </c>
      <c r="AZ32" s="568"/>
      <c r="BA32" s="569"/>
      <c r="BB32" s="480">
        <f t="shared" si="11"/>
        <v>26</v>
      </c>
      <c r="BE32" s="480">
        <v>319.60913684210527</v>
      </c>
      <c r="BF32" s="570">
        <f t="shared" si="12"/>
        <v>0</v>
      </c>
    </row>
    <row r="33" spans="1:58" ht="15" x14ac:dyDescent="0.25">
      <c r="A33" s="538" t="s">
        <v>37</v>
      </c>
      <c r="B33" s="491" t="s">
        <v>227</v>
      </c>
      <c r="C33" s="539">
        <v>2434</v>
      </c>
      <c r="D33" s="540">
        <v>2434</v>
      </c>
      <c r="E33" s="571">
        <v>1976</v>
      </c>
      <c r="F33" s="551">
        <f t="shared" si="0"/>
        <v>59280</v>
      </c>
      <c r="G33" s="551">
        <v>18720</v>
      </c>
      <c r="H33" s="551">
        <v>16800</v>
      </c>
      <c r="I33" s="551">
        <v>17100</v>
      </c>
      <c r="J33" s="552">
        <f t="shared" si="5"/>
        <v>52620</v>
      </c>
      <c r="K33" s="551">
        <f t="shared" si="1"/>
        <v>6660</v>
      </c>
      <c r="L33" s="551">
        <f t="shared" si="2"/>
        <v>52620</v>
      </c>
      <c r="M33" s="553" t="s">
        <v>206</v>
      </c>
      <c r="N33" s="553">
        <v>3.638299657884593</v>
      </c>
      <c r="O33" s="572">
        <f t="shared" si="3"/>
        <v>191447</v>
      </c>
      <c r="P33" s="544"/>
      <c r="Q33" s="555">
        <v>35640</v>
      </c>
      <c r="R33" s="555">
        <v>35280</v>
      </c>
      <c r="S33" s="555">
        <v>33660</v>
      </c>
      <c r="T33" s="551">
        <v>0.2036</v>
      </c>
      <c r="U33" s="554">
        <f t="shared" si="6"/>
        <v>21292.488000000001</v>
      </c>
      <c r="V33" s="544"/>
      <c r="W33" s="556">
        <v>540</v>
      </c>
      <c r="X33" s="557">
        <v>630</v>
      </c>
      <c r="Y33" s="557">
        <v>540</v>
      </c>
      <c r="Z33" s="551">
        <v>1.7611399999999999</v>
      </c>
      <c r="AA33" s="558">
        <f t="shared" si="7"/>
        <v>3011.5493999999999</v>
      </c>
      <c r="AB33" s="540"/>
      <c r="AC33" s="559"/>
      <c r="AD33" s="560"/>
      <c r="AE33" s="573"/>
      <c r="AF33" s="560"/>
      <c r="AG33" s="574"/>
      <c r="AH33" s="540"/>
      <c r="AI33" s="575"/>
      <c r="AJ33" s="576"/>
      <c r="AK33" s="577">
        <f t="shared" si="4"/>
        <v>0</v>
      </c>
      <c r="AL33" s="540"/>
      <c r="AM33" s="557">
        <v>1440</v>
      </c>
      <c r="AN33" s="557">
        <v>1470</v>
      </c>
      <c r="AO33" s="557">
        <v>1440</v>
      </c>
      <c r="AP33" s="551">
        <v>0.2036</v>
      </c>
      <c r="AQ33" s="554">
        <f t="shared" si="8"/>
        <v>885.66</v>
      </c>
      <c r="AR33" s="540"/>
      <c r="AS33" s="578">
        <f t="shared" si="9"/>
        <v>216636.6974</v>
      </c>
      <c r="AT33" s="549"/>
      <c r="AU33" s="567"/>
      <c r="AV33" s="567"/>
      <c r="AW33" s="586"/>
      <c r="AX33" s="567">
        <f t="shared" si="10"/>
        <v>216636.6974</v>
      </c>
      <c r="AZ33" s="568"/>
      <c r="BA33" s="569"/>
      <c r="BB33" s="480">
        <f t="shared" si="11"/>
        <v>52</v>
      </c>
      <c r="BE33" s="480">
        <v>21292.488000000001</v>
      </c>
      <c r="BF33" s="570">
        <f t="shared" si="12"/>
        <v>0</v>
      </c>
    </row>
    <row r="34" spans="1:58" ht="15" x14ac:dyDescent="0.25">
      <c r="A34" s="538" t="s">
        <v>6</v>
      </c>
      <c r="B34" s="491" t="s">
        <v>228</v>
      </c>
      <c r="C34" s="539">
        <v>1005</v>
      </c>
      <c r="D34" s="540">
        <v>1005</v>
      </c>
      <c r="E34" s="571">
        <v>1976</v>
      </c>
      <c r="F34" s="551">
        <f t="shared" si="0"/>
        <v>59280</v>
      </c>
      <c r="G34" s="551">
        <v>18720</v>
      </c>
      <c r="H34" s="551">
        <v>15750</v>
      </c>
      <c r="I34" s="551">
        <v>18720</v>
      </c>
      <c r="J34" s="552">
        <f t="shared" si="5"/>
        <v>53190</v>
      </c>
      <c r="K34" s="551">
        <f t="shared" si="1"/>
        <v>6090</v>
      </c>
      <c r="L34" s="551">
        <f t="shared" si="2"/>
        <v>53190</v>
      </c>
      <c r="M34" s="553" t="s">
        <v>203</v>
      </c>
      <c r="N34" s="553">
        <v>5.5991996578845935</v>
      </c>
      <c r="O34" s="572">
        <f t="shared" si="3"/>
        <v>297821</v>
      </c>
      <c r="P34" s="544"/>
      <c r="Q34" s="555">
        <v>52380</v>
      </c>
      <c r="R34" s="555">
        <v>43470</v>
      </c>
      <c r="S34" s="555">
        <v>46534.73684210526</v>
      </c>
      <c r="T34" s="551">
        <v>0.2036</v>
      </c>
      <c r="U34" s="554">
        <f t="shared" si="6"/>
        <v>28989.532421052631</v>
      </c>
      <c r="V34" s="544"/>
      <c r="W34" s="556">
        <v>1260</v>
      </c>
      <c r="X34" s="557">
        <v>630</v>
      </c>
      <c r="Y34" s="557">
        <v>1260</v>
      </c>
      <c r="Z34" s="551">
        <v>1.7611399999999999</v>
      </c>
      <c r="AA34" s="558">
        <f t="shared" si="7"/>
        <v>5547.5909999999994</v>
      </c>
      <c r="AB34" s="540"/>
      <c r="AC34" s="559">
        <v>110000</v>
      </c>
      <c r="AD34" s="560"/>
      <c r="AE34" s="573"/>
      <c r="AF34" s="560"/>
      <c r="AG34" s="574">
        <v>900.97499999999991</v>
      </c>
      <c r="AH34" s="540"/>
      <c r="AI34" s="575">
        <v>1</v>
      </c>
      <c r="AJ34" s="576">
        <v>100000</v>
      </c>
      <c r="AK34" s="577">
        <f t="shared" si="4"/>
        <v>100000</v>
      </c>
      <c r="AL34" s="540"/>
      <c r="AM34" s="557">
        <v>4860</v>
      </c>
      <c r="AN34" s="557">
        <v>0</v>
      </c>
      <c r="AO34" s="557">
        <v>4860</v>
      </c>
      <c r="AP34" s="551">
        <v>0.2036</v>
      </c>
      <c r="AQ34" s="554">
        <f t="shared" si="8"/>
        <v>1978.992</v>
      </c>
      <c r="AR34" s="540"/>
      <c r="AS34" s="578">
        <f t="shared" si="9"/>
        <v>545238.09042105253</v>
      </c>
      <c r="AT34" s="549"/>
      <c r="AU34" s="567">
        <v>-770.40999999999985</v>
      </c>
      <c r="AV34" s="567"/>
      <c r="AW34" s="579">
        <v>14543.5</v>
      </c>
      <c r="AX34" s="567">
        <f t="shared" si="10"/>
        <v>559011.1804210525</v>
      </c>
      <c r="AZ34" s="568"/>
      <c r="BA34" s="569"/>
      <c r="BB34" s="480">
        <f t="shared" si="11"/>
        <v>52</v>
      </c>
      <c r="BE34" s="480">
        <v>28989.532421052631</v>
      </c>
      <c r="BF34" s="570">
        <f t="shared" si="12"/>
        <v>0</v>
      </c>
    </row>
    <row r="35" spans="1:58" ht="15" x14ac:dyDescent="0.25">
      <c r="A35" s="538" t="s">
        <v>40</v>
      </c>
      <c r="B35" s="491" t="s">
        <v>229</v>
      </c>
      <c r="C35" s="539">
        <v>2452</v>
      </c>
      <c r="D35" s="540">
        <v>2452</v>
      </c>
      <c r="E35" s="571">
        <v>988</v>
      </c>
      <c r="F35" s="551">
        <f t="shared" si="0"/>
        <v>29640</v>
      </c>
      <c r="G35" s="551">
        <v>8100</v>
      </c>
      <c r="H35" s="551">
        <v>4410</v>
      </c>
      <c r="I35" s="551">
        <v>4680</v>
      </c>
      <c r="J35" s="552">
        <f t="shared" si="5"/>
        <v>17190</v>
      </c>
      <c r="K35" s="551">
        <f t="shared" si="1"/>
        <v>12450</v>
      </c>
      <c r="L35" s="551">
        <f t="shared" si="2"/>
        <v>17190</v>
      </c>
      <c r="M35" s="553" t="s">
        <v>206</v>
      </c>
      <c r="N35" s="553">
        <v>3.638299657884593</v>
      </c>
      <c r="O35" s="572">
        <f t="shared" si="3"/>
        <v>62542</v>
      </c>
      <c r="P35" s="544"/>
      <c r="Q35" s="555">
        <v>7020</v>
      </c>
      <c r="R35" s="555">
        <v>5250</v>
      </c>
      <c r="S35" s="555">
        <v>10771.578947368422</v>
      </c>
      <c r="T35" s="551">
        <v>0.2036</v>
      </c>
      <c r="U35" s="554">
        <f t="shared" si="6"/>
        <v>4691.2654736842105</v>
      </c>
      <c r="V35" s="544"/>
      <c r="W35" s="556">
        <v>180</v>
      </c>
      <c r="X35" s="557">
        <v>0</v>
      </c>
      <c r="Y35" s="557">
        <v>180</v>
      </c>
      <c r="Z35" s="551">
        <v>1.7611399999999999</v>
      </c>
      <c r="AA35" s="558">
        <f t="shared" si="7"/>
        <v>634.0104</v>
      </c>
      <c r="AB35" s="540"/>
      <c r="AC35" s="559"/>
      <c r="AD35" s="560"/>
      <c r="AE35" s="573"/>
      <c r="AF35" s="560"/>
      <c r="AG35" s="574"/>
      <c r="AH35" s="540"/>
      <c r="AI35" s="575"/>
      <c r="AJ35" s="576"/>
      <c r="AK35" s="577">
        <f t="shared" si="4"/>
        <v>0</v>
      </c>
      <c r="AL35" s="540"/>
      <c r="AM35" s="557">
        <v>720</v>
      </c>
      <c r="AN35" s="557">
        <v>630</v>
      </c>
      <c r="AO35" s="557">
        <v>720</v>
      </c>
      <c r="AP35" s="551">
        <v>0.2036</v>
      </c>
      <c r="AQ35" s="554">
        <f t="shared" si="8"/>
        <v>421.452</v>
      </c>
      <c r="AR35" s="540"/>
      <c r="AS35" s="578">
        <f t="shared" si="9"/>
        <v>68288.727873684213</v>
      </c>
      <c r="AT35" s="549"/>
      <c r="AU35" s="567"/>
      <c r="AV35" s="567"/>
      <c r="AW35" s="567"/>
      <c r="AX35" s="567">
        <f t="shared" si="10"/>
        <v>68288.727873684213</v>
      </c>
      <c r="AZ35" s="568"/>
      <c r="BA35" s="569"/>
      <c r="BB35" s="480">
        <f t="shared" si="11"/>
        <v>26</v>
      </c>
      <c r="BE35" s="480">
        <v>4691.2654736842105</v>
      </c>
      <c r="BF35" s="570">
        <f t="shared" si="12"/>
        <v>0</v>
      </c>
    </row>
    <row r="36" spans="1:58" ht="15" x14ac:dyDescent="0.25">
      <c r="A36" s="583" t="s">
        <v>43</v>
      </c>
      <c r="B36" s="489" t="s">
        <v>230</v>
      </c>
      <c r="C36" s="584">
        <v>2420</v>
      </c>
      <c r="D36" s="540">
        <v>2420</v>
      </c>
      <c r="E36" s="571">
        <v>1976</v>
      </c>
      <c r="F36" s="551">
        <f t="shared" si="0"/>
        <v>59280</v>
      </c>
      <c r="G36" s="551">
        <v>17280</v>
      </c>
      <c r="H36" s="551">
        <v>12201</v>
      </c>
      <c r="I36" s="551">
        <v>14940</v>
      </c>
      <c r="J36" s="552">
        <f t="shared" si="5"/>
        <v>44421</v>
      </c>
      <c r="K36" s="551">
        <f t="shared" si="1"/>
        <v>14859</v>
      </c>
      <c r="L36" s="551">
        <f t="shared" si="2"/>
        <v>44421</v>
      </c>
      <c r="M36" s="553" t="s">
        <v>206</v>
      </c>
      <c r="N36" s="553">
        <v>3.638299657884593</v>
      </c>
      <c r="O36" s="572">
        <f t="shared" si="3"/>
        <v>161617</v>
      </c>
      <c r="P36" s="544"/>
      <c r="Q36" s="555">
        <v>51840</v>
      </c>
      <c r="R36" s="555">
        <v>36603</v>
      </c>
      <c r="S36" s="555">
        <v>41096.84210526316</v>
      </c>
      <c r="T36" s="551">
        <v>0.2036</v>
      </c>
      <c r="U36" s="554">
        <f t="shared" si="6"/>
        <v>26374.311852631581</v>
      </c>
      <c r="V36" s="544"/>
      <c r="W36" s="556">
        <v>1260</v>
      </c>
      <c r="X36" s="557">
        <v>1260</v>
      </c>
      <c r="Y36" s="557">
        <v>1260</v>
      </c>
      <c r="Z36" s="551">
        <v>1.7611399999999999</v>
      </c>
      <c r="AA36" s="558">
        <f t="shared" si="7"/>
        <v>6657.1091999999999</v>
      </c>
      <c r="AB36" s="540"/>
      <c r="AC36" s="559"/>
      <c r="AD36" s="560"/>
      <c r="AE36" s="573"/>
      <c r="AF36" s="560"/>
      <c r="AG36" s="574"/>
      <c r="AH36" s="540"/>
      <c r="AI36" s="575"/>
      <c r="AJ36" s="576"/>
      <c r="AK36" s="577">
        <f t="shared" si="4"/>
        <v>0</v>
      </c>
      <c r="AL36" s="540"/>
      <c r="AM36" s="557">
        <v>5220</v>
      </c>
      <c r="AN36" s="557">
        <v>4326</v>
      </c>
      <c r="AO36" s="557">
        <v>5220</v>
      </c>
      <c r="AP36" s="551">
        <v>0.2036</v>
      </c>
      <c r="AQ36" s="554">
        <f t="shared" si="8"/>
        <v>3006.3575999999998</v>
      </c>
      <c r="AR36" s="540"/>
      <c r="AS36" s="578">
        <f t="shared" si="9"/>
        <v>197654.77865263159</v>
      </c>
      <c r="AT36" s="549"/>
      <c r="AU36" s="567"/>
      <c r="AV36" s="567"/>
      <c r="AW36" s="567"/>
      <c r="AX36" s="567">
        <f t="shared" si="10"/>
        <v>197654.77865263159</v>
      </c>
      <c r="AZ36" s="568"/>
      <c r="BA36" s="569"/>
      <c r="BB36" s="480">
        <f t="shared" si="11"/>
        <v>52</v>
      </c>
      <c r="BE36" s="480">
        <v>26374.311852631581</v>
      </c>
      <c r="BF36" s="570">
        <f t="shared" si="12"/>
        <v>0</v>
      </c>
    </row>
    <row r="37" spans="1:58" ht="15" x14ac:dyDescent="0.25">
      <c r="A37" s="538" t="s">
        <v>101</v>
      </c>
      <c r="B37" s="491" t="s">
        <v>231</v>
      </c>
      <c r="C37" s="539">
        <v>2473</v>
      </c>
      <c r="D37" s="540">
        <v>2473</v>
      </c>
      <c r="E37" s="571">
        <v>1482</v>
      </c>
      <c r="F37" s="551">
        <f t="shared" si="0"/>
        <v>44460</v>
      </c>
      <c r="G37" s="551">
        <v>14040</v>
      </c>
      <c r="H37" s="551">
        <v>14700</v>
      </c>
      <c r="I37" s="551">
        <v>13500</v>
      </c>
      <c r="J37" s="552">
        <f t="shared" si="5"/>
        <v>42240</v>
      </c>
      <c r="K37" s="551">
        <f t="shared" si="1"/>
        <v>2220</v>
      </c>
      <c r="L37" s="551">
        <f t="shared" si="2"/>
        <v>42240</v>
      </c>
      <c r="M37" s="553" t="s">
        <v>206</v>
      </c>
      <c r="N37" s="553">
        <v>3.638299657884593</v>
      </c>
      <c r="O37" s="572">
        <f t="shared" si="3"/>
        <v>153682</v>
      </c>
      <c r="P37" s="544"/>
      <c r="Q37" s="555">
        <v>21240</v>
      </c>
      <c r="R37" s="555">
        <v>18480</v>
      </c>
      <c r="S37" s="555">
        <v>21420.000000000004</v>
      </c>
      <c r="T37" s="551">
        <v>0.2036</v>
      </c>
      <c r="U37" s="554">
        <f t="shared" si="6"/>
        <v>12448.103999999999</v>
      </c>
      <c r="V37" s="544"/>
      <c r="W37" s="556">
        <v>180</v>
      </c>
      <c r="X37" s="557">
        <v>420</v>
      </c>
      <c r="Y37" s="557">
        <v>180</v>
      </c>
      <c r="Z37" s="551">
        <v>1.7611399999999999</v>
      </c>
      <c r="AA37" s="558">
        <f t="shared" si="7"/>
        <v>1373.6892</v>
      </c>
      <c r="AB37" s="540"/>
      <c r="AC37" s="559"/>
      <c r="AD37" s="560"/>
      <c r="AE37" s="573"/>
      <c r="AF37" s="560"/>
      <c r="AG37" s="574"/>
      <c r="AH37" s="540"/>
      <c r="AI37" s="575"/>
      <c r="AJ37" s="576"/>
      <c r="AK37" s="577">
        <f t="shared" si="4"/>
        <v>0</v>
      </c>
      <c r="AL37" s="540"/>
      <c r="AM37" s="557">
        <v>540</v>
      </c>
      <c r="AN37" s="557">
        <v>630</v>
      </c>
      <c r="AO37" s="557">
        <v>540</v>
      </c>
      <c r="AP37" s="551">
        <v>0.2036</v>
      </c>
      <c r="AQ37" s="554">
        <f t="shared" si="8"/>
        <v>348.15600000000001</v>
      </c>
      <c r="AR37" s="540"/>
      <c r="AS37" s="578">
        <f t="shared" si="9"/>
        <v>167851.9492</v>
      </c>
      <c r="AT37" s="549"/>
      <c r="AU37" s="567"/>
      <c r="AV37" s="567"/>
      <c r="AW37" s="567"/>
      <c r="AX37" s="567">
        <f t="shared" si="10"/>
        <v>167851.9492</v>
      </c>
      <c r="AZ37" s="568"/>
      <c r="BA37" s="569"/>
      <c r="BB37" s="480">
        <f t="shared" si="11"/>
        <v>39</v>
      </c>
      <c r="BE37" s="480">
        <v>12448.103999999999</v>
      </c>
      <c r="BF37" s="570">
        <f t="shared" si="12"/>
        <v>0</v>
      </c>
    </row>
    <row r="38" spans="1:58" ht="15" x14ac:dyDescent="0.25">
      <c r="A38" s="538" t="s">
        <v>45</v>
      </c>
      <c r="B38" s="491" t="s">
        <v>232</v>
      </c>
      <c r="C38" s="539">
        <v>2003</v>
      </c>
      <c r="D38" s="540">
        <v>2003</v>
      </c>
      <c r="E38" s="571">
        <v>988</v>
      </c>
      <c r="F38" s="551">
        <f t="shared" si="0"/>
        <v>29640</v>
      </c>
      <c r="G38" s="551">
        <v>9360</v>
      </c>
      <c r="H38" s="551">
        <v>7560</v>
      </c>
      <c r="I38" s="551">
        <v>9360</v>
      </c>
      <c r="J38" s="552">
        <f t="shared" si="5"/>
        <v>26280</v>
      </c>
      <c r="K38" s="551">
        <f t="shared" si="1"/>
        <v>3360</v>
      </c>
      <c r="L38" s="551">
        <f t="shared" si="2"/>
        <v>26280</v>
      </c>
      <c r="M38" s="553" t="s">
        <v>206</v>
      </c>
      <c r="N38" s="553">
        <v>3.638299657884593</v>
      </c>
      <c r="O38" s="572">
        <f t="shared" si="3"/>
        <v>95615</v>
      </c>
      <c r="P38" s="544"/>
      <c r="Q38" s="555">
        <v>1080</v>
      </c>
      <c r="R38" s="555">
        <v>630</v>
      </c>
      <c r="S38" s="555">
        <v>549.47368421052624</v>
      </c>
      <c r="T38" s="551">
        <v>0.2036</v>
      </c>
      <c r="U38" s="554">
        <f t="shared" si="6"/>
        <v>460.02884210526315</v>
      </c>
      <c r="V38" s="544"/>
      <c r="W38" s="556">
        <v>0</v>
      </c>
      <c r="X38" s="557">
        <v>0</v>
      </c>
      <c r="Y38" s="557">
        <v>0</v>
      </c>
      <c r="Z38" s="551">
        <v>1.7611399999999999</v>
      </c>
      <c r="AA38" s="558">
        <f t="shared" si="7"/>
        <v>0</v>
      </c>
      <c r="AB38" s="540"/>
      <c r="AC38" s="559"/>
      <c r="AD38" s="560"/>
      <c r="AE38" s="573"/>
      <c r="AF38" s="560"/>
      <c r="AG38" s="574"/>
      <c r="AH38" s="540"/>
      <c r="AI38" s="575"/>
      <c r="AJ38" s="576"/>
      <c r="AK38" s="577">
        <f t="shared" si="4"/>
        <v>0</v>
      </c>
      <c r="AL38" s="540"/>
      <c r="AM38" s="557">
        <v>0</v>
      </c>
      <c r="AN38" s="557">
        <v>210</v>
      </c>
      <c r="AO38" s="557">
        <v>0</v>
      </c>
      <c r="AP38" s="551">
        <v>0.2036</v>
      </c>
      <c r="AQ38" s="554">
        <f t="shared" si="8"/>
        <v>42.756</v>
      </c>
      <c r="AR38" s="540"/>
      <c r="AS38" s="578">
        <f t="shared" si="9"/>
        <v>96117.784842105262</v>
      </c>
      <c r="AT38" s="549"/>
      <c r="AU38" s="567"/>
      <c r="AV38" s="567"/>
      <c r="AW38" s="567"/>
      <c r="AX38" s="567">
        <f t="shared" si="10"/>
        <v>96117.784842105262</v>
      </c>
      <c r="AZ38" s="568"/>
      <c r="BA38" s="569"/>
      <c r="BB38" s="480">
        <f t="shared" si="11"/>
        <v>26</v>
      </c>
      <c r="BE38" s="480">
        <v>460.02884210526315</v>
      </c>
      <c r="BF38" s="570">
        <f t="shared" si="12"/>
        <v>0</v>
      </c>
    </row>
    <row r="39" spans="1:58" ht="15" x14ac:dyDescent="0.25">
      <c r="A39" s="587" t="s">
        <v>102</v>
      </c>
      <c r="B39" s="491" t="s">
        <v>233</v>
      </c>
      <c r="C39" s="539">
        <v>2462</v>
      </c>
      <c r="D39" s="540">
        <v>2462</v>
      </c>
      <c r="E39" s="571">
        <v>988</v>
      </c>
      <c r="F39" s="551">
        <f t="shared" si="0"/>
        <v>29640</v>
      </c>
      <c r="G39" s="551">
        <v>8280</v>
      </c>
      <c r="H39" s="551">
        <v>7350</v>
      </c>
      <c r="I39" s="551">
        <v>7200</v>
      </c>
      <c r="J39" s="552">
        <f t="shared" si="5"/>
        <v>22830</v>
      </c>
      <c r="K39" s="551">
        <f t="shared" si="1"/>
        <v>6810</v>
      </c>
      <c r="L39" s="551">
        <f t="shared" si="2"/>
        <v>22830</v>
      </c>
      <c r="M39" s="553" t="s">
        <v>206</v>
      </c>
      <c r="N39" s="553">
        <v>3.638299657884593</v>
      </c>
      <c r="O39" s="572">
        <f t="shared" si="3"/>
        <v>83062</v>
      </c>
      <c r="P39" s="544"/>
      <c r="Q39" s="555">
        <v>2880</v>
      </c>
      <c r="R39" s="555">
        <v>3360</v>
      </c>
      <c r="S39" s="555">
        <v>2872.4210526315792</v>
      </c>
      <c r="T39" s="551">
        <v>0.2036</v>
      </c>
      <c r="U39" s="554">
        <f t="shared" si="6"/>
        <v>1855.2889263157897</v>
      </c>
      <c r="V39" s="544"/>
      <c r="W39" s="556">
        <v>180</v>
      </c>
      <c r="X39" s="557">
        <v>210</v>
      </c>
      <c r="Y39" s="557">
        <v>180</v>
      </c>
      <c r="Z39" s="551">
        <v>1.7611399999999999</v>
      </c>
      <c r="AA39" s="558">
        <f t="shared" si="7"/>
        <v>1003.8498</v>
      </c>
      <c r="AB39" s="540"/>
      <c r="AC39" s="559"/>
      <c r="AD39" s="560"/>
      <c r="AE39" s="573"/>
      <c r="AF39" s="560"/>
      <c r="AG39" s="574"/>
      <c r="AH39" s="540"/>
      <c r="AI39" s="575"/>
      <c r="AJ39" s="576"/>
      <c r="AK39" s="577">
        <f t="shared" si="4"/>
        <v>0</v>
      </c>
      <c r="AL39" s="540"/>
      <c r="AM39" s="557">
        <v>2340</v>
      </c>
      <c r="AN39" s="557">
        <v>1050</v>
      </c>
      <c r="AO39" s="557">
        <v>2340</v>
      </c>
      <c r="AP39" s="551">
        <v>0.2036</v>
      </c>
      <c r="AQ39" s="554">
        <f t="shared" si="8"/>
        <v>1166.6279999999999</v>
      </c>
      <c r="AR39" s="540"/>
      <c r="AS39" s="578">
        <f t="shared" si="9"/>
        <v>87087.766726315793</v>
      </c>
      <c r="AT39" s="549"/>
      <c r="AU39" s="567"/>
      <c r="AV39" s="567"/>
      <c r="AW39" s="567"/>
      <c r="AX39" s="567">
        <f t="shared" si="10"/>
        <v>87087.766726315793</v>
      </c>
      <c r="AZ39" s="568"/>
      <c r="BA39" s="569"/>
      <c r="BB39" s="480">
        <f t="shared" si="11"/>
        <v>26</v>
      </c>
      <c r="BE39" s="480">
        <v>1855.2889263157897</v>
      </c>
      <c r="BF39" s="570">
        <f t="shared" si="12"/>
        <v>0</v>
      </c>
    </row>
    <row r="40" spans="1:58" ht="15" x14ac:dyDescent="0.25">
      <c r="A40" s="583" t="s">
        <v>51</v>
      </c>
      <c r="B40" s="588" t="s">
        <v>234</v>
      </c>
      <c r="C40" s="589">
        <v>2505</v>
      </c>
      <c r="D40" s="540">
        <v>2505</v>
      </c>
      <c r="E40" s="571">
        <v>1900</v>
      </c>
      <c r="F40" s="551">
        <f t="shared" si="0"/>
        <v>57000</v>
      </c>
      <c r="G40" s="551">
        <v>16200</v>
      </c>
      <c r="H40" s="551">
        <v>14700</v>
      </c>
      <c r="I40" s="551">
        <v>11700</v>
      </c>
      <c r="J40" s="552">
        <f t="shared" si="5"/>
        <v>42600</v>
      </c>
      <c r="K40" s="551">
        <f t="shared" si="1"/>
        <v>14400</v>
      </c>
      <c r="L40" s="551">
        <f t="shared" si="2"/>
        <v>42600</v>
      </c>
      <c r="M40" s="553" t="s">
        <v>206</v>
      </c>
      <c r="N40" s="553">
        <v>3.638299657884593</v>
      </c>
      <c r="O40" s="572">
        <f t="shared" si="3"/>
        <v>154992</v>
      </c>
      <c r="P40" s="544"/>
      <c r="Q40" s="555">
        <v>32184</v>
      </c>
      <c r="R40" s="555">
        <v>14280</v>
      </c>
      <c r="S40" s="555">
        <v>32028.63157894737</v>
      </c>
      <c r="T40" s="551">
        <v>0.2036</v>
      </c>
      <c r="U40" s="554">
        <f t="shared" si="6"/>
        <v>15981.099789473685</v>
      </c>
      <c r="V40" s="544"/>
      <c r="W40" s="556">
        <v>540</v>
      </c>
      <c r="X40" s="557">
        <v>0</v>
      </c>
      <c r="Y40" s="557">
        <v>540</v>
      </c>
      <c r="Z40" s="551">
        <v>1.7611399999999999</v>
      </c>
      <c r="AA40" s="558">
        <f t="shared" si="7"/>
        <v>1902.0311999999999</v>
      </c>
      <c r="AB40" s="540"/>
      <c r="AC40" s="559"/>
      <c r="AD40" s="560"/>
      <c r="AE40" s="573"/>
      <c r="AF40" s="560"/>
      <c r="AG40" s="574"/>
      <c r="AH40" s="540"/>
      <c r="AI40" s="575"/>
      <c r="AJ40" s="576"/>
      <c r="AK40" s="577">
        <f t="shared" si="4"/>
        <v>0</v>
      </c>
      <c r="AL40" s="540"/>
      <c r="AM40" s="557">
        <v>5580</v>
      </c>
      <c r="AN40" s="557">
        <v>3990</v>
      </c>
      <c r="AO40" s="557">
        <v>5580</v>
      </c>
      <c r="AP40" s="551">
        <v>0.2036</v>
      </c>
      <c r="AQ40" s="554">
        <f t="shared" si="8"/>
        <v>3084.54</v>
      </c>
      <c r="AR40" s="540"/>
      <c r="AS40" s="578">
        <f t="shared" si="9"/>
        <v>175959.6709894737</v>
      </c>
      <c r="AT40" s="549"/>
      <c r="AU40" s="567"/>
      <c r="AV40" s="567"/>
      <c r="AW40" s="567"/>
      <c r="AX40" s="567">
        <f t="shared" si="10"/>
        <v>175959.6709894737</v>
      </c>
      <c r="AZ40" s="568"/>
      <c r="BA40" s="569"/>
      <c r="BB40" s="480">
        <f t="shared" si="11"/>
        <v>50</v>
      </c>
      <c r="BE40" s="480">
        <v>15981.099789473685</v>
      </c>
      <c r="BF40" s="570">
        <f t="shared" si="12"/>
        <v>0</v>
      </c>
    </row>
    <row r="41" spans="1:58" ht="15" x14ac:dyDescent="0.25">
      <c r="A41" s="538" t="s">
        <v>52</v>
      </c>
      <c r="B41" s="491" t="s">
        <v>235</v>
      </c>
      <c r="C41" s="539">
        <v>2000</v>
      </c>
      <c r="D41" s="540">
        <v>2000</v>
      </c>
      <c r="E41" s="571">
        <v>988</v>
      </c>
      <c r="F41" s="551">
        <f t="shared" si="0"/>
        <v>29640</v>
      </c>
      <c r="G41" s="551">
        <v>5760</v>
      </c>
      <c r="H41" s="551">
        <v>3150</v>
      </c>
      <c r="I41" s="551">
        <v>5400</v>
      </c>
      <c r="J41" s="552">
        <f t="shared" si="5"/>
        <v>14310</v>
      </c>
      <c r="K41" s="551">
        <f t="shared" si="1"/>
        <v>15330</v>
      </c>
      <c r="L41" s="551">
        <f t="shared" si="2"/>
        <v>14310</v>
      </c>
      <c r="M41" s="553" t="s">
        <v>206</v>
      </c>
      <c r="N41" s="553">
        <v>3.638299657884593</v>
      </c>
      <c r="O41" s="572">
        <f t="shared" si="3"/>
        <v>52064</v>
      </c>
      <c r="P41" s="544"/>
      <c r="Q41" s="555">
        <v>9180</v>
      </c>
      <c r="R41" s="555">
        <v>5460</v>
      </c>
      <c r="S41" s="555">
        <v>4102.4423076923076</v>
      </c>
      <c r="T41" s="551">
        <v>0.2036</v>
      </c>
      <c r="U41" s="554">
        <f t="shared" si="6"/>
        <v>3815.9612538461542</v>
      </c>
      <c r="V41" s="544"/>
      <c r="W41" s="556">
        <v>180</v>
      </c>
      <c r="X41" s="557">
        <v>210</v>
      </c>
      <c r="Y41" s="557">
        <v>93.461538461538467</v>
      </c>
      <c r="Z41" s="551">
        <v>1.7611399999999999</v>
      </c>
      <c r="AA41" s="558">
        <f t="shared" si="7"/>
        <v>851.44345384615383</v>
      </c>
      <c r="AB41" s="540"/>
      <c r="AC41" s="559"/>
      <c r="AD41" s="560"/>
      <c r="AE41" s="573"/>
      <c r="AF41" s="560"/>
      <c r="AG41" s="574"/>
      <c r="AH41" s="540"/>
      <c r="AI41" s="575"/>
      <c r="AJ41" s="576"/>
      <c r="AK41" s="577">
        <f t="shared" si="4"/>
        <v>0</v>
      </c>
      <c r="AL41" s="540"/>
      <c r="AM41" s="557">
        <v>900</v>
      </c>
      <c r="AN41" s="557">
        <v>630</v>
      </c>
      <c r="AO41" s="557">
        <v>467.30769230769232</v>
      </c>
      <c r="AP41" s="551">
        <v>0.2036</v>
      </c>
      <c r="AQ41" s="554">
        <f t="shared" si="8"/>
        <v>406.65184615384618</v>
      </c>
      <c r="AR41" s="540"/>
      <c r="AS41" s="578">
        <f t="shared" si="9"/>
        <v>57138.056553846152</v>
      </c>
      <c r="AT41" s="549"/>
      <c r="AU41" s="567"/>
      <c r="AV41" s="567"/>
      <c r="AW41" s="567"/>
      <c r="AX41" s="567">
        <f t="shared" si="10"/>
        <v>57138.056553846152</v>
      </c>
      <c r="AZ41" s="568"/>
      <c r="BA41" s="569"/>
      <c r="BB41" s="480">
        <f t="shared" si="11"/>
        <v>26</v>
      </c>
      <c r="BE41" s="480">
        <v>3815.9612538461542</v>
      </c>
      <c r="BF41" s="570">
        <f t="shared" si="12"/>
        <v>0</v>
      </c>
    </row>
    <row r="42" spans="1:58" ht="15" x14ac:dyDescent="0.25">
      <c r="A42" s="538" t="s">
        <v>54</v>
      </c>
      <c r="B42" s="491" t="s">
        <v>236</v>
      </c>
      <c r="C42" s="539">
        <v>2001</v>
      </c>
      <c r="D42" s="540">
        <v>2001</v>
      </c>
      <c r="E42" s="571">
        <v>1976</v>
      </c>
      <c r="F42" s="551">
        <f t="shared" si="0"/>
        <v>59280</v>
      </c>
      <c r="G42" s="551">
        <v>13860</v>
      </c>
      <c r="H42" s="551">
        <v>8400</v>
      </c>
      <c r="I42" s="551">
        <v>9720</v>
      </c>
      <c r="J42" s="552">
        <f t="shared" si="5"/>
        <v>31980</v>
      </c>
      <c r="K42" s="551">
        <f t="shared" si="1"/>
        <v>27300</v>
      </c>
      <c r="L42" s="551">
        <f t="shared" si="2"/>
        <v>31980</v>
      </c>
      <c r="M42" s="553" t="s">
        <v>206</v>
      </c>
      <c r="N42" s="553">
        <v>3.638299657884593</v>
      </c>
      <c r="O42" s="572">
        <f t="shared" si="3"/>
        <v>116353</v>
      </c>
      <c r="P42" s="544"/>
      <c r="Q42" s="555">
        <v>25920</v>
      </c>
      <c r="R42" s="555">
        <v>15120</v>
      </c>
      <c r="S42" s="555">
        <v>24276.315789473687</v>
      </c>
      <c r="T42" s="551">
        <v>0.2036</v>
      </c>
      <c r="U42" s="554">
        <f t="shared" si="6"/>
        <v>13298.401894736842</v>
      </c>
      <c r="V42" s="544"/>
      <c r="W42" s="556">
        <v>720</v>
      </c>
      <c r="X42" s="557">
        <v>630</v>
      </c>
      <c r="Y42" s="557">
        <v>720</v>
      </c>
      <c r="Z42" s="551">
        <v>1.7611399999999999</v>
      </c>
      <c r="AA42" s="558">
        <f t="shared" si="7"/>
        <v>3645.5598</v>
      </c>
      <c r="AB42" s="540"/>
      <c r="AC42" s="559"/>
      <c r="AD42" s="560"/>
      <c r="AE42" s="573"/>
      <c r="AF42" s="560"/>
      <c r="AG42" s="574"/>
      <c r="AH42" s="540"/>
      <c r="AI42" s="575"/>
      <c r="AJ42" s="576"/>
      <c r="AK42" s="577">
        <f t="shared" si="4"/>
        <v>0</v>
      </c>
      <c r="AL42" s="540"/>
      <c r="AM42" s="557">
        <v>540</v>
      </c>
      <c r="AN42" s="557">
        <v>0</v>
      </c>
      <c r="AO42" s="557">
        <v>540</v>
      </c>
      <c r="AP42" s="551">
        <v>0.2036</v>
      </c>
      <c r="AQ42" s="554">
        <f t="shared" si="8"/>
        <v>219.88800000000001</v>
      </c>
      <c r="AR42" s="540"/>
      <c r="AS42" s="578">
        <f t="shared" si="9"/>
        <v>133516.84969473683</v>
      </c>
      <c r="AT42" s="549"/>
      <c r="AU42" s="567"/>
      <c r="AV42" s="567"/>
      <c r="AW42" s="567"/>
      <c r="AX42" s="567">
        <f t="shared" si="10"/>
        <v>133516.84969473683</v>
      </c>
      <c r="AZ42" s="568"/>
      <c r="BA42" s="569"/>
      <c r="BB42" s="480">
        <f t="shared" si="11"/>
        <v>52</v>
      </c>
      <c r="BE42" s="480">
        <v>13298.401894736842</v>
      </c>
      <c r="BF42" s="570">
        <f t="shared" si="12"/>
        <v>0</v>
      </c>
    </row>
    <row r="43" spans="1:58" ht="15" x14ac:dyDescent="0.25">
      <c r="A43" s="538" t="s">
        <v>55</v>
      </c>
      <c r="B43" s="491" t="s">
        <v>237</v>
      </c>
      <c r="C43" s="539">
        <v>2429</v>
      </c>
      <c r="D43" s="540">
        <v>2429</v>
      </c>
      <c r="E43" s="571">
        <v>1482</v>
      </c>
      <c r="F43" s="551">
        <f t="shared" si="0"/>
        <v>44460</v>
      </c>
      <c r="G43" s="551">
        <v>10980</v>
      </c>
      <c r="H43" s="551">
        <v>10920</v>
      </c>
      <c r="I43" s="551">
        <v>10800</v>
      </c>
      <c r="J43" s="552">
        <f t="shared" si="5"/>
        <v>32700</v>
      </c>
      <c r="K43" s="551">
        <f t="shared" si="1"/>
        <v>11760</v>
      </c>
      <c r="L43" s="551">
        <f t="shared" si="2"/>
        <v>32700</v>
      </c>
      <c r="M43" s="553" t="s">
        <v>206</v>
      </c>
      <c r="N43" s="553">
        <v>3.638299657884593</v>
      </c>
      <c r="O43" s="572">
        <f t="shared" si="3"/>
        <v>118972</v>
      </c>
      <c r="P43" s="544"/>
      <c r="Q43" s="555">
        <v>29340</v>
      </c>
      <c r="R43" s="555">
        <v>26250</v>
      </c>
      <c r="S43" s="555">
        <v>27852.63157894737</v>
      </c>
      <c r="T43" s="551">
        <v>0.2036</v>
      </c>
      <c r="U43" s="554">
        <f t="shared" si="6"/>
        <v>16988.919789473686</v>
      </c>
      <c r="V43" s="544"/>
      <c r="W43" s="556">
        <v>180</v>
      </c>
      <c r="X43" s="557">
        <v>0</v>
      </c>
      <c r="Y43" s="557">
        <v>180</v>
      </c>
      <c r="Z43" s="551">
        <v>1.7611399999999999</v>
      </c>
      <c r="AA43" s="558">
        <f t="shared" si="7"/>
        <v>634.0104</v>
      </c>
      <c r="AB43" s="540"/>
      <c r="AC43" s="559"/>
      <c r="AD43" s="560"/>
      <c r="AE43" s="573"/>
      <c r="AF43" s="560"/>
      <c r="AG43" s="574"/>
      <c r="AH43" s="540"/>
      <c r="AI43" s="575"/>
      <c r="AJ43" s="576"/>
      <c r="AK43" s="577">
        <f t="shared" si="4"/>
        <v>0</v>
      </c>
      <c r="AL43" s="540"/>
      <c r="AM43" s="557">
        <v>7740</v>
      </c>
      <c r="AN43" s="557">
        <v>2947</v>
      </c>
      <c r="AO43" s="557">
        <v>7740</v>
      </c>
      <c r="AP43" s="551">
        <v>0.2036</v>
      </c>
      <c r="AQ43" s="554">
        <f t="shared" si="8"/>
        <v>3751.7372</v>
      </c>
      <c r="AR43" s="540"/>
      <c r="AS43" s="578">
        <f t="shared" si="9"/>
        <v>140346.66738947367</v>
      </c>
      <c r="AT43" s="549"/>
      <c r="AU43" s="567"/>
      <c r="AV43" s="567"/>
      <c r="AW43" s="567"/>
      <c r="AX43" s="567">
        <f t="shared" si="10"/>
        <v>140346.66738947367</v>
      </c>
      <c r="AZ43" s="568"/>
      <c r="BA43" s="569"/>
      <c r="BB43" s="480">
        <f t="shared" si="11"/>
        <v>39</v>
      </c>
      <c r="BE43" s="480">
        <v>16988.919789473686</v>
      </c>
      <c r="BF43" s="570">
        <f t="shared" si="12"/>
        <v>0</v>
      </c>
    </row>
    <row r="44" spans="1:58" ht="15" x14ac:dyDescent="0.25">
      <c r="A44" s="538" t="s">
        <v>56</v>
      </c>
      <c r="B44" s="491" t="s">
        <v>238</v>
      </c>
      <c r="C44" s="539">
        <v>2444</v>
      </c>
      <c r="D44" s="540">
        <v>2444</v>
      </c>
      <c r="E44" s="571">
        <v>988</v>
      </c>
      <c r="F44" s="551">
        <f t="shared" si="0"/>
        <v>29640</v>
      </c>
      <c r="G44" s="551">
        <v>9360</v>
      </c>
      <c r="H44" s="551">
        <v>10920</v>
      </c>
      <c r="I44" s="551">
        <v>9360</v>
      </c>
      <c r="J44" s="552">
        <f t="shared" si="5"/>
        <v>29640</v>
      </c>
      <c r="K44" s="551">
        <f t="shared" si="1"/>
        <v>0</v>
      </c>
      <c r="L44" s="551">
        <f t="shared" si="2"/>
        <v>29640</v>
      </c>
      <c r="M44" s="553" t="s">
        <v>206</v>
      </c>
      <c r="N44" s="553">
        <v>3.638299657884593</v>
      </c>
      <c r="O44" s="572">
        <f t="shared" si="3"/>
        <v>107839</v>
      </c>
      <c r="P44" s="544"/>
      <c r="Q44" s="555">
        <v>16740</v>
      </c>
      <c r="R44" s="555">
        <v>21000</v>
      </c>
      <c r="S44" s="555">
        <v>14269.263157894737</v>
      </c>
      <c r="T44" s="551">
        <v>0.2036</v>
      </c>
      <c r="U44" s="554">
        <f t="shared" si="6"/>
        <v>10589.085978947367</v>
      </c>
      <c r="V44" s="544"/>
      <c r="W44" s="556">
        <v>180</v>
      </c>
      <c r="X44" s="557">
        <v>210</v>
      </c>
      <c r="Y44" s="557">
        <v>180</v>
      </c>
      <c r="Z44" s="551">
        <v>1.7611399999999999</v>
      </c>
      <c r="AA44" s="558">
        <f t="shared" si="7"/>
        <v>1003.8498</v>
      </c>
      <c r="AB44" s="540"/>
      <c r="AC44" s="559"/>
      <c r="AD44" s="560"/>
      <c r="AE44" s="573"/>
      <c r="AF44" s="560"/>
      <c r="AG44" s="574"/>
      <c r="AH44" s="540"/>
      <c r="AI44" s="575"/>
      <c r="AJ44" s="576"/>
      <c r="AK44" s="577">
        <f t="shared" si="4"/>
        <v>0</v>
      </c>
      <c r="AL44" s="540"/>
      <c r="AM44" s="557">
        <v>1440</v>
      </c>
      <c r="AN44" s="557">
        <v>630</v>
      </c>
      <c r="AO44" s="557">
        <v>1440</v>
      </c>
      <c r="AP44" s="551">
        <v>0.2036</v>
      </c>
      <c r="AQ44" s="554">
        <f t="shared" si="8"/>
        <v>714.63599999999997</v>
      </c>
      <c r="AR44" s="540"/>
      <c r="AS44" s="578">
        <f t="shared" si="9"/>
        <v>120146.57177894737</v>
      </c>
      <c r="AT44" s="549"/>
      <c r="AU44" s="567"/>
      <c r="AV44" s="567"/>
      <c r="AW44" s="567"/>
      <c r="AX44" s="567">
        <f t="shared" si="10"/>
        <v>120146.57177894737</v>
      </c>
      <c r="AZ44" s="568"/>
      <c r="BA44" s="569"/>
      <c r="BB44" s="480">
        <f t="shared" si="11"/>
        <v>26</v>
      </c>
      <c r="BE44" s="480">
        <v>10589.085978947367</v>
      </c>
      <c r="BF44" s="570">
        <f t="shared" si="12"/>
        <v>0</v>
      </c>
    </row>
    <row r="45" spans="1:58" ht="15" x14ac:dyDescent="0.25">
      <c r="A45" s="538" t="s">
        <v>455</v>
      </c>
      <c r="B45" s="491" t="s">
        <v>239</v>
      </c>
      <c r="C45" s="539">
        <v>2430</v>
      </c>
      <c r="D45" s="540">
        <v>2430</v>
      </c>
      <c r="E45" s="571">
        <v>988</v>
      </c>
      <c r="F45" s="551">
        <f t="shared" si="0"/>
        <v>29640</v>
      </c>
      <c r="G45" s="551">
        <v>3240</v>
      </c>
      <c r="H45" s="551">
        <v>1470</v>
      </c>
      <c r="I45" s="551">
        <v>1800</v>
      </c>
      <c r="J45" s="552">
        <f t="shared" si="5"/>
        <v>6510</v>
      </c>
      <c r="K45" s="551">
        <f t="shared" si="1"/>
        <v>23130</v>
      </c>
      <c r="L45" s="551">
        <f t="shared" si="2"/>
        <v>6510</v>
      </c>
      <c r="M45" s="553" t="s">
        <v>206</v>
      </c>
      <c r="N45" s="553">
        <v>3.638299657884593</v>
      </c>
      <c r="O45" s="572">
        <f t="shared" si="3"/>
        <v>23685</v>
      </c>
      <c r="P45" s="544"/>
      <c r="Q45" s="555">
        <v>13500</v>
      </c>
      <c r="R45" s="555">
        <v>9450</v>
      </c>
      <c r="S45" s="555">
        <v>11031.157894736843</v>
      </c>
      <c r="T45" s="551">
        <v>0.2036</v>
      </c>
      <c r="U45" s="554">
        <f t="shared" si="6"/>
        <v>6918.563747368421</v>
      </c>
      <c r="V45" s="544"/>
      <c r="W45" s="556">
        <v>180</v>
      </c>
      <c r="X45" s="557">
        <v>420</v>
      </c>
      <c r="Y45" s="557">
        <v>180</v>
      </c>
      <c r="Z45" s="551">
        <v>1.7611399999999999</v>
      </c>
      <c r="AA45" s="558">
        <f t="shared" si="7"/>
        <v>1373.6892</v>
      </c>
      <c r="AB45" s="540"/>
      <c r="AC45" s="559"/>
      <c r="AD45" s="560"/>
      <c r="AE45" s="573"/>
      <c r="AF45" s="560"/>
      <c r="AG45" s="574"/>
      <c r="AH45" s="540"/>
      <c r="AI45" s="575"/>
      <c r="AJ45" s="576"/>
      <c r="AK45" s="577">
        <f t="shared" si="4"/>
        <v>0</v>
      </c>
      <c r="AL45" s="540"/>
      <c r="AM45" s="557">
        <v>2160</v>
      </c>
      <c r="AN45" s="557">
        <v>1470</v>
      </c>
      <c r="AO45" s="557">
        <v>2160</v>
      </c>
      <c r="AP45" s="551">
        <v>0.2036</v>
      </c>
      <c r="AQ45" s="554">
        <f t="shared" si="8"/>
        <v>1178.8440000000001</v>
      </c>
      <c r="AR45" s="540"/>
      <c r="AS45" s="578">
        <f t="shared" si="9"/>
        <v>33156.096947368424</v>
      </c>
      <c r="AT45" s="549"/>
      <c r="AU45" s="567"/>
      <c r="AV45" s="567"/>
      <c r="AW45" s="567"/>
      <c r="AX45" s="567">
        <f t="shared" si="10"/>
        <v>33156.096947368424</v>
      </c>
      <c r="AZ45" s="568"/>
      <c r="BA45" s="569"/>
      <c r="BB45" s="480">
        <f t="shared" si="11"/>
        <v>26</v>
      </c>
      <c r="BE45" s="480">
        <v>6918.563747368421</v>
      </c>
      <c r="BF45" s="570">
        <f t="shared" si="12"/>
        <v>0</v>
      </c>
    </row>
    <row r="46" spans="1:58" ht="15" x14ac:dyDescent="0.25">
      <c r="A46" s="538" t="s">
        <v>60</v>
      </c>
      <c r="B46" s="491" t="s">
        <v>240</v>
      </c>
      <c r="C46" s="539">
        <v>3543</v>
      </c>
      <c r="D46" s="540">
        <v>3543</v>
      </c>
      <c r="E46" s="571">
        <v>1482</v>
      </c>
      <c r="F46" s="551">
        <f t="shared" si="0"/>
        <v>44460</v>
      </c>
      <c r="G46" s="551">
        <v>7560</v>
      </c>
      <c r="H46" s="551">
        <v>4200</v>
      </c>
      <c r="I46" s="551">
        <v>3780</v>
      </c>
      <c r="J46" s="552">
        <f t="shared" si="5"/>
        <v>15540</v>
      </c>
      <c r="K46" s="551">
        <f t="shared" si="1"/>
        <v>28920</v>
      </c>
      <c r="L46" s="551">
        <f t="shared" si="2"/>
        <v>15540</v>
      </c>
      <c r="M46" s="553" t="s">
        <v>206</v>
      </c>
      <c r="N46" s="553">
        <v>3.638299657884593</v>
      </c>
      <c r="O46" s="572">
        <f t="shared" si="3"/>
        <v>56539</v>
      </c>
      <c r="P46" s="544"/>
      <c r="Q46" s="555">
        <v>5868</v>
      </c>
      <c r="R46" s="555">
        <v>4935</v>
      </c>
      <c r="S46" s="555">
        <v>6633.4736842105276</v>
      </c>
      <c r="T46" s="551">
        <v>0.2036</v>
      </c>
      <c r="U46" s="554">
        <f t="shared" si="6"/>
        <v>3550.0660421052635</v>
      </c>
      <c r="V46" s="544"/>
      <c r="W46" s="556">
        <v>0</v>
      </c>
      <c r="X46" s="557">
        <v>0</v>
      </c>
      <c r="Y46" s="557">
        <v>0</v>
      </c>
      <c r="Z46" s="551">
        <v>1.7611399999999999</v>
      </c>
      <c r="AA46" s="558">
        <f t="shared" si="7"/>
        <v>0</v>
      </c>
      <c r="AB46" s="540"/>
      <c r="AC46" s="559"/>
      <c r="AD46" s="560"/>
      <c r="AE46" s="573"/>
      <c r="AF46" s="560"/>
      <c r="AG46" s="574"/>
      <c r="AH46" s="540"/>
      <c r="AI46" s="575"/>
      <c r="AJ46" s="576"/>
      <c r="AK46" s="577">
        <f t="shared" si="4"/>
        <v>0</v>
      </c>
      <c r="AL46" s="540"/>
      <c r="AM46" s="557">
        <v>1980</v>
      </c>
      <c r="AN46" s="557">
        <v>945</v>
      </c>
      <c r="AO46" s="557">
        <v>1980</v>
      </c>
      <c r="AP46" s="551">
        <v>0.2036</v>
      </c>
      <c r="AQ46" s="554">
        <f t="shared" si="8"/>
        <v>998.65800000000002</v>
      </c>
      <c r="AR46" s="540"/>
      <c r="AS46" s="578">
        <f t="shared" si="9"/>
        <v>61087.724042105263</v>
      </c>
      <c r="AT46" s="549"/>
      <c r="AU46" s="567"/>
      <c r="AV46" s="567"/>
      <c r="AW46" s="567"/>
      <c r="AX46" s="567">
        <f t="shared" si="10"/>
        <v>61087.724042105263</v>
      </c>
      <c r="AZ46" s="568"/>
      <c r="BA46" s="569"/>
      <c r="BB46" s="480">
        <f t="shared" si="11"/>
        <v>39</v>
      </c>
      <c r="BE46" s="480">
        <v>3550.0660421052635</v>
      </c>
      <c r="BF46" s="570">
        <f t="shared" si="12"/>
        <v>0</v>
      </c>
    </row>
    <row r="47" spans="1:58" ht="15" x14ac:dyDescent="0.25">
      <c r="A47" s="1158" t="s">
        <v>98</v>
      </c>
      <c r="B47" s="491" t="s">
        <v>241</v>
      </c>
      <c r="C47" s="539">
        <v>3158</v>
      </c>
      <c r="D47" s="540">
        <v>3158</v>
      </c>
      <c r="E47" s="571">
        <v>1482</v>
      </c>
      <c r="F47" s="551">
        <f t="shared" si="0"/>
        <v>44460</v>
      </c>
      <c r="G47" s="551">
        <v>9000</v>
      </c>
      <c r="H47" s="551">
        <v>6510</v>
      </c>
      <c r="I47" s="551">
        <v>7560</v>
      </c>
      <c r="J47" s="552">
        <f t="shared" si="5"/>
        <v>23070</v>
      </c>
      <c r="K47" s="551">
        <f t="shared" si="1"/>
        <v>21390</v>
      </c>
      <c r="L47" s="551">
        <f t="shared" si="2"/>
        <v>23070</v>
      </c>
      <c r="M47" s="553" t="s">
        <v>206</v>
      </c>
      <c r="N47" s="553">
        <v>3.638299657884593</v>
      </c>
      <c r="O47" s="572">
        <f t="shared" si="3"/>
        <v>83936</v>
      </c>
      <c r="P47" s="544"/>
      <c r="Q47" s="555">
        <v>21960</v>
      </c>
      <c r="R47" s="555">
        <v>12390</v>
      </c>
      <c r="S47" s="555">
        <v>29510.52631578947</v>
      </c>
      <c r="T47" s="551">
        <v>0.2036</v>
      </c>
      <c r="U47" s="554">
        <f t="shared" si="6"/>
        <v>13002.003157894735</v>
      </c>
      <c r="V47" s="544"/>
      <c r="W47" s="556">
        <v>540</v>
      </c>
      <c r="X47" s="557">
        <v>210</v>
      </c>
      <c r="Y47" s="557">
        <v>540</v>
      </c>
      <c r="Z47" s="551">
        <v>1.7611399999999999</v>
      </c>
      <c r="AA47" s="558">
        <f t="shared" si="7"/>
        <v>2271.8705999999997</v>
      </c>
      <c r="AB47" s="540"/>
      <c r="AC47" s="559"/>
      <c r="AD47" s="560"/>
      <c r="AE47" s="573"/>
      <c r="AF47" s="560"/>
      <c r="AG47" s="574"/>
      <c r="AH47" s="540"/>
      <c r="AI47" s="575"/>
      <c r="AJ47" s="576"/>
      <c r="AK47" s="577">
        <f t="shared" si="4"/>
        <v>0</v>
      </c>
      <c r="AL47" s="540"/>
      <c r="AM47" s="557">
        <v>9540</v>
      </c>
      <c r="AN47" s="557">
        <v>5250</v>
      </c>
      <c r="AO47" s="557">
        <v>9540</v>
      </c>
      <c r="AP47" s="551">
        <v>0.2036</v>
      </c>
      <c r="AQ47" s="554">
        <f t="shared" si="8"/>
        <v>4953.5879999999997</v>
      </c>
      <c r="AR47" s="540"/>
      <c r="AS47" s="578">
        <f t="shared" si="9"/>
        <v>104163.46175789474</v>
      </c>
      <c r="AT47" s="549"/>
      <c r="AU47" s="567"/>
      <c r="AV47" s="567"/>
      <c r="AW47" s="567"/>
      <c r="AX47" s="567">
        <f t="shared" si="10"/>
        <v>104163.46175789474</v>
      </c>
      <c r="AZ47" s="568"/>
      <c r="BA47" s="569"/>
      <c r="BB47" s="480">
        <f t="shared" si="11"/>
        <v>39</v>
      </c>
      <c r="BE47" s="480">
        <v>13002.003157894735</v>
      </c>
      <c r="BF47" s="570">
        <f t="shared" si="12"/>
        <v>0</v>
      </c>
    </row>
    <row r="48" spans="1:58" ht="15" x14ac:dyDescent="0.25">
      <c r="A48" s="538" t="s">
        <v>63</v>
      </c>
      <c r="B48" s="491" t="s">
        <v>242</v>
      </c>
      <c r="C48" s="539">
        <v>3526</v>
      </c>
      <c r="D48" s="540">
        <v>3526</v>
      </c>
      <c r="E48" s="571">
        <v>760</v>
      </c>
      <c r="F48" s="551">
        <f t="shared" si="0"/>
        <v>22800</v>
      </c>
      <c r="G48" s="551">
        <v>6660</v>
      </c>
      <c r="H48" s="551">
        <v>4410</v>
      </c>
      <c r="I48" s="551">
        <v>5220</v>
      </c>
      <c r="J48" s="552">
        <f t="shared" si="5"/>
        <v>16290</v>
      </c>
      <c r="K48" s="551">
        <f t="shared" si="1"/>
        <v>6510</v>
      </c>
      <c r="L48" s="551">
        <f t="shared" si="2"/>
        <v>16290</v>
      </c>
      <c r="M48" s="553" t="s">
        <v>206</v>
      </c>
      <c r="N48" s="553">
        <v>3.638299657884593</v>
      </c>
      <c r="O48" s="572">
        <f t="shared" si="3"/>
        <v>59268</v>
      </c>
      <c r="P48" s="544"/>
      <c r="Q48" s="555">
        <v>18540</v>
      </c>
      <c r="R48" s="555">
        <v>15540</v>
      </c>
      <c r="S48" s="555">
        <v>16285.263157894737</v>
      </c>
      <c r="T48" s="551">
        <v>0.2036</v>
      </c>
      <c r="U48" s="554">
        <f t="shared" si="6"/>
        <v>10254.367578947367</v>
      </c>
      <c r="V48" s="544"/>
      <c r="W48" s="556">
        <v>0</v>
      </c>
      <c r="X48" s="557">
        <v>0</v>
      </c>
      <c r="Y48" s="557">
        <v>0</v>
      </c>
      <c r="Z48" s="551">
        <v>1.7611399999999999</v>
      </c>
      <c r="AA48" s="558">
        <f t="shared" si="7"/>
        <v>0</v>
      </c>
      <c r="AB48" s="540"/>
      <c r="AC48" s="559"/>
      <c r="AD48" s="560"/>
      <c r="AE48" s="573"/>
      <c r="AF48" s="560"/>
      <c r="AG48" s="574"/>
      <c r="AH48" s="540"/>
      <c r="AI48" s="575"/>
      <c r="AJ48" s="576"/>
      <c r="AK48" s="577">
        <f t="shared" si="4"/>
        <v>0</v>
      </c>
      <c r="AL48" s="540"/>
      <c r="AM48" s="557">
        <v>4320</v>
      </c>
      <c r="AN48" s="557">
        <v>3990</v>
      </c>
      <c r="AO48" s="557">
        <v>4320</v>
      </c>
      <c r="AP48" s="551">
        <v>0.2036</v>
      </c>
      <c r="AQ48" s="554">
        <f t="shared" si="8"/>
        <v>2571.4679999999998</v>
      </c>
      <c r="AR48" s="540"/>
      <c r="AS48" s="578">
        <f t="shared" si="9"/>
        <v>72093.835578947372</v>
      </c>
      <c r="AT48" s="549"/>
      <c r="AU48" s="567"/>
      <c r="AV48" s="567"/>
      <c r="AW48" s="567"/>
      <c r="AX48" s="567">
        <f t="shared" si="10"/>
        <v>72093.835578947372</v>
      </c>
      <c r="AZ48" s="568"/>
      <c r="BA48" s="569"/>
      <c r="BB48" s="480">
        <f t="shared" si="11"/>
        <v>20</v>
      </c>
      <c r="BE48" s="480">
        <v>10254.367578947367</v>
      </c>
      <c r="BF48" s="570">
        <f t="shared" si="12"/>
        <v>0</v>
      </c>
    </row>
    <row r="49" spans="1:58" ht="15" x14ac:dyDescent="0.25">
      <c r="A49" s="538" t="s">
        <v>680</v>
      </c>
      <c r="B49" s="491" t="s">
        <v>243</v>
      </c>
      <c r="C49" s="539">
        <v>3528</v>
      </c>
      <c r="D49" s="540">
        <v>3528</v>
      </c>
      <c r="E49" s="571">
        <v>1976</v>
      </c>
      <c r="F49" s="551">
        <f t="shared" si="0"/>
        <v>59280</v>
      </c>
      <c r="G49" s="551">
        <v>6120</v>
      </c>
      <c r="H49" s="551">
        <v>3360</v>
      </c>
      <c r="I49" s="551">
        <v>3780</v>
      </c>
      <c r="J49" s="552">
        <f t="shared" si="5"/>
        <v>13260</v>
      </c>
      <c r="K49" s="551">
        <f t="shared" si="1"/>
        <v>46020</v>
      </c>
      <c r="L49" s="551">
        <f t="shared" si="2"/>
        <v>13260</v>
      </c>
      <c r="M49" s="553" t="s">
        <v>206</v>
      </c>
      <c r="N49" s="553">
        <v>3.638299657884593</v>
      </c>
      <c r="O49" s="572">
        <f t="shared" si="3"/>
        <v>48244</v>
      </c>
      <c r="P49" s="544"/>
      <c r="Q49" s="555">
        <v>9360</v>
      </c>
      <c r="R49" s="555">
        <v>5376</v>
      </c>
      <c r="S49" s="555">
        <v>6336.0000000000018</v>
      </c>
      <c r="T49" s="551">
        <v>0.2036</v>
      </c>
      <c r="U49" s="554">
        <f t="shared" si="6"/>
        <v>4290.2592000000004</v>
      </c>
      <c r="V49" s="544"/>
      <c r="W49" s="556">
        <v>360</v>
      </c>
      <c r="X49" s="557">
        <v>0</v>
      </c>
      <c r="Y49" s="557">
        <v>360</v>
      </c>
      <c r="Z49" s="551">
        <v>1.7611399999999999</v>
      </c>
      <c r="AA49" s="558">
        <f t="shared" si="7"/>
        <v>1268.0208</v>
      </c>
      <c r="AB49" s="540"/>
      <c r="AC49" s="559"/>
      <c r="AD49" s="560"/>
      <c r="AE49" s="573"/>
      <c r="AF49" s="560"/>
      <c r="AG49" s="574"/>
      <c r="AH49" s="540"/>
      <c r="AI49" s="575"/>
      <c r="AJ49" s="576"/>
      <c r="AK49" s="577">
        <f t="shared" si="4"/>
        <v>0</v>
      </c>
      <c r="AL49" s="540"/>
      <c r="AM49" s="557">
        <v>1800</v>
      </c>
      <c r="AN49" s="557">
        <v>1176</v>
      </c>
      <c r="AO49" s="557">
        <v>1800</v>
      </c>
      <c r="AP49" s="551">
        <v>0.2036</v>
      </c>
      <c r="AQ49" s="554">
        <f t="shared" si="8"/>
        <v>972.39359999999999</v>
      </c>
      <c r="AR49" s="540"/>
      <c r="AS49" s="578">
        <f t="shared" si="9"/>
        <v>54774.673600000002</v>
      </c>
      <c r="AT49" s="549"/>
      <c r="AU49" s="567"/>
      <c r="AV49" s="567"/>
      <c r="AW49" s="567"/>
      <c r="AX49" s="567">
        <f t="shared" si="10"/>
        <v>54774.673600000002</v>
      </c>
      <c r="AZ49" s="568"/>
      <c r="BA49" s="569"/>
      <c r="BB49" s="480">
        <f t="shared" si="11"/>
        <v>52</v>
      </c>
      <c r="BE49" s="480">
        <v>4290.2592000000004</v>
      </c>
      <c r="BF49" s="570">
        <f t="shared" si="12"/>
        <v>0</v>
      </c>
    </row>
    <row r="50" spans="1:58" ht="15" x14ac:dyDescent="0.25">
      <c r="A50" s="538" t="s">
        <v>7</v>
      </c>
      <c r="B50" s="491" t="s">
        <v>244</v>
      </c>
      <c r="C50" s="539">
        <v>1010</v>
      </c>
      <c r="D50" s="540">
        <v>1010</v>
      </c>
      <c r="E50" s="571">
        <v>1520</v>
      </c>
      <c r="F50" s="551">
        <f t="shared" si="0"/>
        <v>45600</v>
      </c>
      <c r="G50" s="551">
        <v>11160</v>
      </c>
      <c r="H50" s="551">
        <v>7140</v>
      </c>
      <c r="I50" s="551">
        <v>7920</v>
      </c>
      <c r="J50" s="552">
        <f t="shared" si="5"/>
        <v>26220</v>
      </c>
      <c r="K50" s="551">
        <f t="shared" si="1"/>
        <v>19380</v>
      </c>
      <c r="L50" s="551">
        <f t="shared" si="2"/>
        <v>26220</v>
      </c>
      <c r="M50" s="553" t="s">
        <v>203</v>
      </c>
      <c r="N50" s="553">
        <v>5.5991996578845935</v>
      </c>
      <c r="O50" s="572">
        <f t="shared" si="3"/>
        <v>146811</v>
      </c>
      <c r="P50" s="544"/>
      <c r="Q50" s="555">
        <v>22140</v>
      </c>
      <c r="R50" s="555">
        <v>13860</v>
      </c>
      <c r="S50" s="555">
        <v>29021.684210526313</v>
      </c>
      <c r="T50" s="551">
        <v>0.2036</v>
      </c>
      <c r="U50" s="554">
        <f t="shared" si="6"/>
        <v>13238.414905263158</v>
      </c>
      <c r="V50" s="544"/>
      <c r="W50" s="556">
        <v>180</v>
      </c>
      <c r="X50" s="557">
        <v>0</v>
      </c>
      <c r="Y50" s="557">
        <v>180</v>
      </c>
      <c r="Z50" s="551">
        <v>1.7611399999999999</v>
      </c>
      <c r="AA50" s="558">
        <f t="shared" si="7"/>
        <v>634.0104</v>
      </c>
      <c r="AB50" s="540"/>
      <c r="AC50" s="559"/>
      <c r="AD50" s="560"/>
      <c r="AE50" s="573"/>
      <c r="AF50" s="560"/>
      <c r="AG50" s="574">
        <v>9760.5625</v>
      </c>
      <c r="AH50" s="540"/>
      <c r="AI50" s="575">
        <v>1</v>
      </c>
      <c r="AJ50" s="576">
        <v>100000</v>
      </c>
      <c r="AK50" s="577">
        <f t="shared" si="4"/>
        <v>100000</v>
      </c>
      <c r="AL50" s="540"/>
      <c r="AM50" s="557">
        <v>10620</v>
      </c>
      <c r="AN50" s="557">
        <v>0</v>
      </c>
      <c r="AO50" s="557">
        <v>10620</v>
      </c>
      <c r="AP50" s="551">
        <v>0.2036</v>
      </c>
      <c r="AQ50" s="554">
        <f t="shared" si="8"/>
        <v>4324.4639999999999</v>
      </c>
      <c r="AR50" s="540"/>
      <c r="AS50" s="578">
        <f t="shared" si="9"/>
        <v>274768.45180526318</v>
      </c>
      <c r="AT50" s="549"/>
      <c r="AU50" s="567">
        <v>-2020.6900000000005</v>
      </c>
      <c r="AV50" s="567"/>
      <c r="AW50" s="579">
        <v>4338</v>
      </c>
      <c r="AX50" s="567">
        <f t="shared" si="10"/>
        <v>277085.76180526317</v>
      </c>
      <c r="AZ50" s="568"/>
      <c r="BA50" s="569"/>
      <c r="BB50" s="480">
        <f t="shared" si="11"/>
        <v>40</v>
      </c>
      <c r="BE50" s="480">
        <v>13238.414905263158</v>
      </c>
      <c r="BF50" s="570">
        <f t="shared" si="12"/>
        <v>0</v>
      </c>
    </row>
    <row r="51" spans="1:58" ht="15" x14ac:dyDescent="0.25">
      <c r="A51" s="538" t="s">
        <v>65</v>
      </c>
      <c r="B51" s="491" t="s">
        <v>245</v>
      </c>
      <c r="C51" s="539">
        <v>3546</v>
      </c>
      <c r="D51" s="540">
        <v>3546</v>
      </c>
      <c r="E51" s="571">
        <v>1482</v>
      </c>
      <c r="F51" s="551">
        <f t="shared" si="0"/>
        <v>44460</v>
      </c>
      <c r="G51" s="551">
        <v>14040</v>
      </c>
      <c r="H51" s="551">
        <v>11865</v>
      </c>
      <c r="I51" s="551">
        <v>14040</v>
      </c>
      <c r="J51" s="552">
        <f t="shared" si="5"/>
        <v>39945</v>
      </c>
      <c r="K51" s="551">
        <f t="shared" si="1"/>
        <v>4515</v>
      </c>
      <c r="L51" s="551">
        <f t="shared" si="2"/>
        <v>39945</v>
      </c>
      <c r="M51" s="553" t="s">
        <v>206</v>
      </c>
      <c r="N51" s="553">
        <v>3.638299657884593</v>
      </c>
      <c r="O51" s="572">
        <f t="shared" si="3"/>
        <v>145332</v>
      </c>
      <c r="P51" s="544"/>
      <c r="Q51" s="555">
        <v>34560</v>
      </c>
      <c r="R51" s="555">
        <v>30660</v>
      </c>
      <c r="S51" s="555">
        <v>30988.42105263158</v>
      </c>
      <c r="T51" s="551">
        <v>0.2036</v>
      </c>
      <c r="U51" s="554">
        <f t="shared" si="6"/>
        <v>19588.034526315787</v>
      </c>
      <c r="V51" s="544"/>
      <c r="W51" s="556">
        <v>540</v>
      </c>
      <c r="X51" s="557">
        <v>420</v>
      </c>
      <c r="Y51" s="557">
        <v>540</v>
      </c>
      <c r="Z51" s="551">
        <v>1.7611399999999999</v>
      </c>
      <c r="AA51" s="558">
        <f t="shared" si="7"/>
        <v>2641.71</v>
      </c>
      <c r="AB51" s="540"/>
      <c r="AC51" s="559"/>
      <c r="AD51" s="560"/>
      <c r="AE51" s="573"/>
      <c r="AF51" s="560"/>
      <c r="AG51" s="574"/>
      <c r="AH51" s="540"/>
      <c r="AI51" s="575"/>
      <c r="AJ51" s="576"/>
      <c r="AK51" s="577">
        <f t="shared" si="4"/>
        <v>0</v>
      </c>
      <c r="AL51" s="540"/>
      <c r="AM51" s="557">
        <v>7560</v>
      </c>
      <c r="AN51" s="557">
        <v>5355</v>
      </c>
      <c r="AO51" s="557">
        <v>7560</v>
      </c>
      <c r="AP51" s="551">
        <v>0.2036</v>
      </c>
      <c r="AQ51" s="554">
        <f t="shared" si="8"/>
        <v>4168.71</v>
      </c>
      <c r="AR51" s="540"/>
      <c r="AS51" s="578">
        <f t="shared" si="9"/>
        <v>171730.45452631579</v>
      </c>
      <c r="AT51" s="549"/>
      <c r="AU51" s="567"/>
      <c r="AV51" s="567"/>
      <c r="AW51" s="586"/>
      <c r="AX51" s="567">
        <f t="shared" si="10"/>
        <v>171730.45452631579</v>
      </c>
      <c r="AZ51" s="568"/>
      <c r="BA51" s="569"/>
      <c r="BB51" s="480">
        <f t="shared" si="11"/>
        <v>39</v>
      </c>
      <c r="BE51" s="480">
        <v>19588.034526315787</v>
      </c>
      <c r="BF51" s="570">
        <f t="shared" si="12"/>
        <v>0</v>
      </c>
    </row>
    <row r="52" spans="1:58" ht="15" x14ac:dyDescent="0.25">
      <c r="A52" s="538" t="s">
        <v>8</v>
      </c>
      <c r="B52" s="491" t="s">
        <v>246</v>
      </c>
      <c r="C52" s="539">
        <v>1009</v>
      </c>
      <c r="D52" s="540">
        <v>1009</v>
      </c>
      <c r="E52" s="571">
        <v>1520</v>
      </c>
      <c r="F52" s="551">
        <f t="shared" si="0"/>
        <v>45600</v>
      </c>
      <c r="G52" s="551">
        <v>14328</v>
      </c>
      <c r="H52" s="551">
        <v>16086</v>
      </c>
      <c r="I52" s="551">
        <v>14328</v>
      </c>
      <c r="J52" s="552">
        <f t="shared" si="5"/>
        <v>44742</v>
      </c>
      <c r="K52" s="551">
        <f t="shared" si="1"/>
        <v>858</v>
      </c>
      <c r="L52" s="551">
        <f t="shared" si="2"/>
        <v>44742</v>
      </c>
      <c r="M52" s="553" t="s">
        <v>203</v>
      </c>
      <c r="N52" s="553">
        <v>5.5991996578845935</v>
      </c>
      <c r="O52" s="572">
        <f t="shared" si="3"/>
        <v>250519</v>
      </c>
      <c r="P52" s="544"/>
      <c r="Q52" s="555">
        <v>39924</v>
      </c>
      <c r="R52" s="555">
        <v>42378</v>
      </c>
      <c r="S52" s="555">
        <v>39936.315789473694</v>
      </c>
      <c r="T52" s="551">
        <v>0.2036</v>
      </c>
      <c r="U52" s="554">
        <f t="shared" si="6"/>
        <v>24887.721094736844</v>
      </c>
      <c r="V52" s="544"/>
      <c r="W52" s="556">
        <v>180</v>
      </c>
      <c r="X52" s="557">
        <v>210</v>
      </c>
      <c r="Y52" s="557">
        <v>180</v>
      </c>
      <c r="Z52" s="551">
        <v>1.7611399999999999</v>
      </c>
      <c r="AA52" s="558">
        <f t="shared" si="7"/>
        <v>1003.8498</v>
      </c>
      <c r="AB52" s="540"/>
      <c r="AC52" s="559"/>
      <c r="AD52" s="560"/>
      <c r="AE52" s="573"/>
      <c r="AF52" s="560"/>
      <c r="AG52" s="574">
        <v>9760.5625</v>
      </c>
      <c r="AH52" s="540"/>
      <c r="AI52" s="575">
        <v>1</v>
      </c>
      <c r="AJ52" s="576">
        <v>100000</v>
      </c>
      <c r="AK52" s="577">
        <f t="shared" si="4"/>
        <v>100000</v>
      </c>
      <c r="AL52" s="540"/>
      <c r="AM52" s="557">
        <v>6408</v>
      </c>
      <c r="AN52" s="557">
        <v>0</v>
      </c>
      <c r="AO52" s="557">
        <v>6408</v>
      </c>
      <c r="AP52" s="551">
        <v>0.2036</v>
      </c>
      <c r="AQ52" s="554">
        <f t="shared" si="8"/>
        <v>2609.3375999999998</v>
      </c>
      <c r="AR52" s="540"/>
      <c r="AS52" s="578">
        <f t="shared" si="9"/>
        <v>388780.47099473682</v>
      </c>
      <c r="AT52" s="549"/>
      <c r="AU52" s="567">
        <v>-3486.87</v>
      </c>
      <c r="AV52" s="567"/>
      <c r="AW52" s="579">
        <v>7953</v>
      </c>
      <c r="AX52" s="567">
        <f t="shared" si="10"/>
        <v>393246.60099473683</v>
      </c>
      <c r="AZ52" s="568">
        <f>AX52-AW52</f>
        <v>385293.60099473683</v>
      </c>
      <c r="BA52" s="569"/>
      <c r="BB52" s="480">
        <f t="shared" si="11"/>
        <v>40</v>
      </c>
      <c r="BE52" s="480">
        <v>24887.721094736844</v>
      </c>
      <c r="BF52" s="570">
        <f t="shared" si="12"/>
        <v>0</v>
      </c>
    </row>
    <row r="53" spans="1:58" ht="15" x14ac:dyDescent="0.25">
      <c r="A53" s="538" t="s">
        <v>66</v>
      </c>
      <c r="B53" s="491" t="s">
        <v>247</v>
      </c>
      <c r="C53" s="539">
        <v>3530</v>
      </c>
      <c r="D53" s="540">
        <v>3530</v>
      </c>
      <c r="E53" s="571">
        <v>988</v>
      </c>
      <c r="F53" s="551">
        <f t="shared" si="0"/>
        <v>29640</v>
      </c>
      <c r="G53" s="551">
        <v>9360</v>
      </c>
      <c r="H53" s="551">
        <v>10500</v>
      </c>
      <c r="I53" s="551">
        <v>9180</v>
      </c>
      <c r="J53" s="552">
        <f t="shared" si="5"/>
        <v>29040</v>
      </c>
      <c r="K53" s="551">
        <f t="shared" si="1"/>
        <v>600</v>
      </c>
      <c r="L53" s="551">
        <f t="shared" si="2"/>
        <v>29040</v>
      </c>
      <c r="M53" s="553" t="s">
        <v>206</v>
      </c>
      <c r="N53" s="553">
        <v>3.638299657884593</v>
      </c>
      <c r="O53" s="572">
        <f>ROUND(N53*L53,0)</f>
        <v>105656</v>
      </c>
      <c r="P53" s="544"/>
      <c r="Q53" s="555">
        <v>720</v>
      </c>
      <c r="R53" s="555">
        <v>1260</v>
      </c>
      <c r="S53" s="555">
        <v>947.36842105263156</v>
      </c>
      <c r="T53" s="551">
        <v>0.2036</v>
      </c>
      <c r="U53" s="554">
        <f t="shared" si="6"/>
        <v>596.01221052631581</v>
      </c>
      <c r="V53" s="544"/>
      <c r="W53" s="556">
        <v>180</v>
      </c>
      <c r="X53" s="557">
        <v>0</v>
      </c>
      <c r="Y53" s="557">
        <v>180</v>
      </c>
      <c r="Z53" s="551">
        <v>1.7611399999999999</v>
      </c>
      <c r="AA53" s="558">
        <f t="shared" si="7"/>
        <v>634.0104</v>
      </c>
      <c r="AB53" s="540"/>
      <c r="AC53" s="559"/>
      <c r="AD53" s="560"/>
      <c r="AE53" s="573"/>
      <c r="AF53" s="560"/>
      <c r="AG53" s="574"/>
      <c r="AH53" s="540"/>
      <c r="AI53" s="575"/>
      <c r="AJ53" s="576"/>
      <c r="AK53" s="577">
        <f t="shared" si="4"/>
        <v>0</v>
      </c>
      <c r="AL53" s="540"/>
      <c r="AM53" s="557">
        <v>360</v>
      </c>
      <c r="AN53" s="557">
        <v>210</v>
      </c>
      <c r="AO53" s="557">
        <v>360</v>
      </c>
      <c r="AP53" s="551">
        <v>0.2036</v>
      </c>
      <c r="AQ53" s="554">
        <f t="shared" si="8"/>
        <v>189.34800000000001</v>
      </c>
      <c r="AR53" s="540"/>
      <c r="AS53" s="578">
        <f t="shared" si="9"/>
        <v>107075.37061052631</v>
      </c>
      <c r="AT53" s="549"/>
      <c r="AU53" s="567"/>
      <c r="AV53" s="567"/>
      <c r="AW53" s="586"/>
      <c r="AX53" s="567">
        <f t="shared" si="10"/>
        <v>107075.37061052631</v>
      </c>
      <c r="AZ53" s="568"/>
      <c r="BA53" s="569"/>
      <c r="BB53" s="480">
        <f t="shared" si="11"/>
        <v>26</v>
      </c>
      <c r="BE53" s="480">
        <v>596.01221052631581</v>
      </c>
      <c r="BF53" s="570">
        <f t="shared" si="12"/>
        <v>0</v>
      </c>
    </row>
    <row r="54" spans="1:58" ht="15" x14ac:dyDescent="0.25">
      <c r="A54" s="538" t="s">
        <v>9</v>
      </c>
      <c r="B54" s="491" t="s">
        <v>248</v>
      </c>
      <c r="C54" s="539">
        <v>1015</v>
      </c>
      <c r="D54" s="540">
        <v>1015</v>
      </c>
      <c r="E54" s="590">
        <v>1520</v>
      </c>
      <c r="F54" s="591">
        <f t="shared" si="0"/>
        <v>45600</v>
      </c>
      <c r="G54" s="551">
        <v>13825</v>
      </c>
      <c r="H54" s="551">
        <v>11046</v>
      </c>
      <c r="I54" s="551">
        <v>12168</v>
      </c>
      <c r="J54" s="552">
        <f t="shared" si="5"/>
        <v>37039</v>
      </c>
      <c r="K54" s="591">
        <f t="shared" si="1"/>
        <v>8561</v>
      </c>
      <c r="L54" s="591">
        <f t="shared" si="2"/>
        <v>37039</v>
      </c>
      <c r="M54" s="553" t="s">
        <v>203</v>
      </c>
      <c r="N54" s="553">
        <v>5.5991996578845935</v>
      </c>
      <c r="O54" s="592">
        <f t="shared" si="3"/>
        <v>207389</v>
      </c>
      <c r="P54" s="544"/>
      <c r="Q54" s="555">
        <v>3060</v>
      </c>
      <c r="R54" s="555">
        <v>4788</v>
      </c>
      <c r="S54" s="555">
        <v>4581.4736842105267</v>
      </c>
      <c r="T54" s="591">
        <v>0.2036</v>
      </c>
      <c r="U54" s="554">
        <f t="shared" si="6"/>
        <v>2530.6408421052633</v>
      </c>
      <c r="V54" s="544"/>
      <c r="W54" s="556">
        <v>0</v>
      </c>
      <c r="X54" s="557">
        <v>0</v>
      </c>
      <c r="Y54" s="557">
        <v>0</v>
      </c>
      <c r="Z54" s="591">
        <v>1.7611399999999999</v>
      </c>
      <c r="AA54" s="558">
        <f t="shared" si="7"/>
        <v>0</v>
      </c>
      <c r="AB54" s="540"/>
      <c r="AC54" s="593"/>
      <c r="AD54" s="560"/>
      <c r="AE54" s="594"/>
      <c r="AF54" s="560"/>
      <c r="AG54" s="574">
        <v>22825</v>
      </c>
      <c r="AH54" s="540"/>
      <c r="AI54" s="595">
        <v>1</v>
      </c>
      <c r="AJ54" s="576">
        <v>100000</v>
      </c>
      <c r="AK54" s="596">
        <f t="shared" si="4"/>
        <v>100000</v>
      </c>
      <c r="AL54" s="540"/>
      <c r="AM54" s="557">
        <v>0</v>
      </c>
      <c r="AN54" s="557">
        <v>0</v>
      </c>
      <c r="AO54" s="557">
        <v>0</v>
      </c>
      <c r="AP54" s="591">
        <v>0.2036</v>
      </c>
      <c r="AQ54" s="554">
        <f t="shared" si="8"/>
        <v>0</v>
      </c>
      <c r="AR54" s="540"/>
      <c r="AS54" s="597">
        <f t="shared" si="9"/>
        <v>332744.64084210526</v>
      </c>
      <c r="AT54" s="549"/>
      <c r="AU54" s="567">
        <v>-2904.5099999999998</v>
      </c>
      <c r="AV54" s="567"/>
      <c r="AW54" s="579">
        <v>5784</v>
      </c>
      <c r="AX54" s="567">
        <f t="shared" si="10"/>
        <v>335624.13084210525</v>
      </c>
      <c r="AZ54" s="568"/>
      <c r="BA54" s="569"/>
      <c r="BB54" s="480">
        <f t="shared" si="11"/>
        <v>40</v>
      </c>
      <c r="BE54" s="480">
        <v>2530.6408421052633</v>
      </c>
      <c r="BF54" s="570">
        <f t="shared" si="12"/>
        <v>0</v>
      </c>
    </row>
    <row r="55" spans="1:58" ht="15" x14ac:dyDescent="0.25">
      <c r="A55" s="538"/>
      <c r="B55" s="491"/>
      <c r="C55" s="539"/>
      <c r="D55" s="540"/>
      <c r="E55" s="541"/>
      <c r="F55" s="541"/>
      <c r="G55" s="541"/>
      <c r="H55" s="541"/>
      <c r="I55" s="541"/>
      <c r="J55" s="543"/>
      <c r="K55" s="541"/>
      <c r="L55" s="541"/>
      <c r="M55" s="541"/>
      <c r="N55" s="541"/>
      <c r="O55" s="543"/>
      <c r="P55" s="544"/>
      <c r="Q55" s="598"/>
      <c r="R55" s="598"/>
      <c r="S55" s="598"/>
      <c r="T55" s="541"/>
      <c r="U55" s="543"/>
      <c r="V55" s="544"/>
      <c r="W55" s="598"/>
      <c r="X55" s="598"/>
      <c r="Y55" s="598"/>
      <c r="Z55" s="541"/>
      <c r="AA55" s="545"/>
      <c r="AB55" s="540"/>
      <c r="AC55" s="599"/>
      <c r="AD55" s="560"/>
      <c r="AE55" s="599"/>
      <c r="AF55" s="560"/>
      <c r="AG55" s="599"/>
      <c r="AH55" s="540"/>
      <c r="AI55" s="541"/>
      <c r="AJ55" s="541"/>
      <c r="AK55" s="543"/>
      <c r="AL55" s="540"/>
      <c r="AM55" s="598"/>
      <c r="AN55" s="598"/>
      <c r="AO55" s="598"/>
      <c r="AP55" s="541"/>
      <c r="AQ55" s="543"/>
      <c r="AR55" s="540"/>
      <c r="AS55" s="543"/>
      <c r="AT55" s="549"/>
      <c r="AU55" s="567"/>
      <c r="AV55" s="567"/>
      <c r="AW55" s="567"/>
      <c r="AX55" s="567"/>
      <c r="BF55" s="570"/>
    </row>
    <row r="56" spans="1:58" s="616" customFormat="1" ht="15" x14ac:dyDescent="0.25">
      <c r="A56" s="600" t="s">
        <v>755</v>
      </c>
      <c r="B56" s="601"/>
      <c r="C56" s="602"/>
      <c r="D56" s="603"/>
      <c r="E56" s="604">
        <f t="shared" ref="E56:J56" si="13">SUM(E7:E55)</f>
        <v>63878</v>
      </c>
      <c r="F56" s="604">
        <f t="shared" si="13"/>
        <v>1916340</v>
      </c>
      <c r="G56" s="605">
        <f t="shared" si="13"/>
        <v>479314</v>
      </c>
      <c r="H56" s="604">
        <f t="shared" si="13"/>
        <v>402432</v>
      </c>
      <c r="I56" s="604">
        <f t="shared" si="13"/>
        <v>416106</v>
      </c>
      <c r="J56" s="606">
        <f t="shared" si="13"/>
        <v>1297852</v>
      </c>
      <c r="K56" s="607"/>
      <c r="L56" s="606">
        <f>SUM(L7:L55)</f>
        <v>1297852</v>
      </c>
      <c r="M56" s="608"/>
      <c r="N56" s="608"/>
      <c r="O56" s="604">
        <f>SUM(O7:O55)</f>
        <v>5265137</v>
      </c>
      <c r="P56" s="609"/>
      <c r="Q56" s="610">
        <f>SUM(Q7:Q55)</f>
        <v>790668</v>
      </c>
      <c r="R56" s="610">
        <f>SUM(R7:R55)</f>
        <v>639429</v>
      </c>
      <c r="S56" s="610">
        <f>SUM(S7:S55)</f>
        <v>752004.96167611331</v>
      </c>
      <c r="T56" s="608"/>
      <c r="U56" s="604">
        <f>SUM(U7:U55)</f>
        <v>444275.95939725667</v>
      </c>
      <c r="V56" s="609"/>
      <c r="W56" s="610">
        <f>SUM(W7:W55)</f>
        <v>14400</v>
      </c>
      <c r="X56" s="610">
        <f>SUM(X7:X55)</f>
        <v>10290</v>
      </c>
      <c r="Y56" s="610">
        <f>SUM(Y7:Y55)</f>
        <v>14313.461538461539</v>
      </c>
      <c r="Z56" s="608"/>
      <c r="AA56" s="611">
        <f>SUM(AA7:AA55)</f>
        <v>68690.556253846167</v>
      </c>
      <c r="AB56" s="603"/>
      <c r="AC56" s="612">
        <f>SUM(AC7:AC55)</f>
        <v>252055</v>
      </c>
      <c r="AD56" s="603"/>
      <c r="AE56" s="612">
        <f>SUM(AE7:AE55)</f>
        <v>0</v>
      </c>
      <c r="AF56" s="603"/>
      <c r="AG56" s="612">
        <f>SUM(AG7:AG55)</f>
        <v>68249.15625</v>
      </c>
      <c r="AH56" s="612">
        <f>SUM(AH7:AH55)</f>
        <v>0</v>
      </c>
      <c r="AI56" s="612">
        <f>SUM(AI7:AI55)</f>
        <v>8</v>
      </c>
      <c r="AJ56" s="608"/>
      <c r="AK56" s="604">
        <f>SUM(AK7:AK55)</f>
        <v>800000</v>
      </c>
      <c r="AL56" s="603"/>
      <c r="AM56" s="610">
        <f>SUM(AM7:AM55)</f>
        <v>129132</v>
      </c>
      <c r="AN56" s="610">
        <f>SUM(AN7:AN55)</f>
        <v>72380</v>
      </c>
      <c r="AO56" s="610">
        <f>SUM(AO7:AO55)</f>
        <v>128699.30769230769</v>
      </c>
      <c r="AP56" s="608"/>
      <c r="AQ56" s="612">
        <f>SUM(AQ7:AQ55)</f>
        <v>67231.022246153851</v>
      </c>
      <c r="AR56" s="603"/>
      <c r="AS56" s="613">
        <f>SUM(AS7:AS55)</f>
        <v>6965638.6941472581</v>
      </c>
      <c r="AT56" s="614"/>
      <c r="AU56" s="613">
        <f>SUM(AU7:AU55)</f>
        <v>-20221.939999999999</v>
      </c>
      <c r="AV56" s="613">
        <f>SUM(AV7:AV55)</f>
        <v>0</v>
      </c>
      <c r="AW56" s="613">
        <f>SUM(AW7:AW55)</f>
        <v>68114.5</v>
      </c>
      <c r="AX56" s="613">
        <f>SUM(AX7:AX55)</f>
        <v>7013531.2541472586</v>
      </c>
      <c r="AY56" s="615"/>
      <c r="BA56" s="490"/>
      <c r="BE56" s="480"/>
      <c r="BF56" s="570"/>
    </row>
    <row r="57" spans="1:58" s="616" customFormat="1" ht="15" x14ac:dyDescent="0.25">
      <c r="A57" s="600"/>
      <c r="B57" s="601"/>
      <c r="C57" s="602"/>
      <c r="D57" s="603"/>
      <c r="E57" s="608" t="s">
        <v>555</v>
      </c>
      <c r="F57" s="608"/>
      <c r="G57" s="608">
        <f>G14+G16+G28</f>
        <v>22500</v>
      </c>
      <c r="H57" s="608">
        <f>H14+H16+H28</f>
        <v>14490</v>
      </c>
      <c r="I57" s="608">
        <f>I14+I16+I28</f>
        <v>17820</v>
      </c>
      <c r="J57" s="606"/>
      <c r="K57" s="607"/>
      <c r="L57" s="607"/>
      <c r="M57" s="608"/>
      <c r="N57" s="608"/>
      <c r="O57" s="617"/>
      <c r="P57" s="609"/>
      <c r="Q57" s="610"/>
      <c r="R57" s="610"/>
      <c r="S57" s="610"/>
      <c r="T57" s="608"/>
      <c r="U57" s="617"/>
      <c r="V57" s="609"/>
      <c r="W57" s="610"/>
      <c r="X57" s="610"/>
      <c r="Y57" s="610"/>
      <c r="Z57" s="608"/>
      <c r="AA57" s="618"/>
      <c r="AB57" s="603"/>
      <c r="AC57" s="619"/>
      <c r="AD57" s="603"/>
      <c r="AE57" s="619"/>
      <c r="AF57" s="603"/>
      <c r="AG57" s="619"/>
      <c r="AH57" s="603"/>
      <c r="AI57" s="608"/>
      <c r="AJ57" s="608"/>
      <c r="AK57" s="617"/>
      <c r="AL57" s="603"/>
      <c r="AM57" s="610"/>
      <c r="AN57" s="610"/>
      <c r="AO57" s="610"/>
      <c r="AP57" s="608"/>
      <c r="AQ57" s="619"/>
      <c r="AR57" s="608">
        <f>AR14+AR16+AR28</f>
        <v>0</v>
      </c>
      <c r="AS57" s="608"/>
      <c r="AT57" s="614"/>
      <c r="AU57" s="567"/>
      <c r="AV57" s="567"/>
      <c r="AW57" s="567"/>
      <c r="AX57" s="567"/>
      <c r="AY57" s="615"/>
      <c r="BA57" s="490"/>
      <c r="BE57" s="480"/>
      <c r="BF57" s="570"/>
    </row>
    <row r="58" spans="1:58" s="616" customFormat="1" ht="15" x14ac:dyDescent="0.25">
      <c r="A58" s="600"/>
      <c r="B58" s="601"/>
      <c r="C58" s="602"/>
      <c r="D58" s="603"/>
      <c r="E58" s="608" t="s">
        <v>655</v>
      </c>
      <c r="F58" s="608"/>
      <c r="G58" s="617">
        <f>G56-G57</f>
        <v>456814</v>
      </c>
      <c r="H58" s="617">
        <f>H56-H57</f>
        <v>387942</v>
      </c>
      <c r="I58" s="617">
        <f>I56-I57</f>
        <v>398286</v>
      </c>
      <c r="J58" s="606"/>
      <c r="K58" s="607"/>
      <c r="L58" s="607"/>
      <c r="M58" s="608"/>
      <c r="N58" s="608"/>
      <c r="O58" s="617"/>
      <c r="P58" s="609"/>
      <c r="Q58" s="610"/>
      <c r="R58" s="610"/>
      <c r="S58" s="610"/>
      <c r="T58" s="608"/>
      <c r="U58" s="617"/>
      <c r="V58" s="609"/>
      <c r="W58" s="610"/>
      <c r="X58" s="610"/>
      <c r="Y58" s="610"/>
      <c r="Z58" s="608"/>
      <c r="AA58" s="618"/>
      <c r="AB58" s="603"/>
      <c r="AC58" s="619"/>
      <c r="AD58" s="603"/>
      <c r="AE58" s="619"/>
      <c r="AF58" s="603"/>
      <c r="AG58" s="619"/>
      <c r="AH58" s="603"/>
      <c r="AI58" s="608"/>
      <c r="AJ58" s="608"/>
      <c r="AK58" s="617"/>
      <c r="AL58" s="603"/>
      <c r="AM58" s="610"/>
      <c r="AN58" s="610"/>
      <c r="AO58" s="610"/>
      <c r="AP58" s="608"/>
      <c r="AQ58" s="619"/>
      <c r="AR58" s="617">
        <f>AR56-AR57</f>
        <v>0</v>
      </c>
      <c r="AS58" s="617"/>
      <c r="AT58" s="614"/>
      <c r="AU58" s="567"/>
      <c r="AV58" s="567"/>
      <c r="AW58" s="567"/>
      <c r="AX58" s="567"/>
      <c r="AY58" s="615"/>
      <c r="BA58" s="490"/>
      <c r="BE58" s="480"/>
      <c r="BF58" s="570"/>
    </row>
    <row r="59" spans="1:58" s="630" customFormat="1" ht="51" x14ac:dyDescent="0.25">
      <c r="A59" s="620" t="s">
        <v>756</v>
      </c>
      <c r="B59" s="620" t="s">
        <v>757</v>
      </c>
      <c r="C59" s="621" t="s">
        <v>758</v>
      </c>
      <c r="D59" s="622"/>
      <c r="E59" s="620" t="s">
        <v>723</v>
      </c>
      <c r="F59" s="620" t="s">
        <v>724</v>
      </c>
      <c r="G59" s="623" t="s">
        <v>733</v>
      </c>
      <c r="H59" s="623" t="s">
        <v>734</v>
      </c>
      <c r="I59" s="623" t="s">
        <v>735</v>
      </c>
      <c r="J59" s="624" t="s">
        <v>728</v>
      </c>
      <c r="K59" s="620" t="s">
        <v>729</v>
      </c>
      <c r="L59" s="620" t="s">
        <v>730</v>
      </c>
      <c r="M59" s="620" t="s">
        <v>201</v>
      </c>
      <c r="N59" s="620" t="s">
        <v>731</v>
      </c>
      <c r="O59" s="625" t="s">
        <v>732</v>
      </c>
      <c r="P59" s="622"/>
      <c r="Q59" s="524" t="s">
        <v>733</v>
      </c>
      <c r="R59" s="524" t="s">
        <v>734</v>
      </c>
      <c r="S59" s="524" t="s">
        <v>735</v>
      </c>
      <c r="T59" s="620" t="s">
        <v>736</v>
      </c>
      <c r="U59" s="625" t="s">
        <v>737</v>
      </c>
      <c r="V59" s="622"/>
      <c r="W59" s="620" t="s">
        <v>759</v>
      </c>
      <c r="X59" s="620"/>
      <c r="Y59" s="620"/>
      <c r="Z59" s="620" t="s">
        <v>736</v>
      </c>
      <c r="AA59" s="626" t="s">
        <v>738</v>
      </c>
      <c r="AB59" s="622"/>
      <c r="AC59" s="627" t="s">
        <v>739</v>
      </c>
      <c r="AD59" s="622"/>
      <c r="AE59" s="627" t="s">
        <v>740</v>
      </c>
      <c r="AF59" s="622"/>
      <c r="AG59" s="627" t="s">
        <v>741</v>
      </c>
      <c r="AH59" s="622"/>
      <c r="AI59" s="620" t="s">
        <v>742</v>
      </c>
      <c r="AJ59" s="620" t="s">
        <v>743</v>
      </c>
      <c r="AK59" s="625" t="s">
        <v>760</v>
      </c>
      <c r="AL59" s="622"/>
      <c r="AM59" s="620" t="s">
        <v>761</v>
      </c>
      <c r="AN59" s="620"/>
      <c r="AO59" s="620"/>
      <c r="AP59" s="620" t="s">
        <v>736</v>
      </c>
      <c r="AQ59" s="625" t="s">
        <v>745</v>
      </c>
      <c r="AR59" s="622"/>
      <c r="AS59" s="625" t="s">
        <v>762</v>
      </c>
      <c r="AT59" s="628"/>
      <c r="AU59" s="567"/>
      <c r="AV59" s="567"/>
      <c r="AW59" s="567"/>
      <c r="AX59" s="567"/>
      <c r="AY59" s="629"/>
      <c r="BA59" s="490"/>
      <c r="BC59" s="631"/>
      <c r="BD59" s="631"/>
      <c r="BE59" s="480"/>
      <c r="BF59" s="570"/>
    </row>
    <row r="60" spans="1:58" s="645" customFormat="1" ht="15" x14ac:dyDescent="0.25">
      <c r="A60" s="632"/>
      <c r="B60" s="633"/>
      <c r="C60" s="634"/>
      <c r="D60" s="635"/>
      <c r="E60" s="636"/>
      <c r="F60" s="636"/>
      <c r="G60" s="637"/>
      <c r="H60" s="637"/>
      <c r="I60" s="637"/>
      <c r="J60" s="638"/>
      <c r="K60" s="636"/>
      <c r="L60" s="636"/>
      <c r="M60" s="636"/>
      <c r="N60" s="636"/>
      <c r="O60" s="639"/>
      <c r="P60" s="640"/>
      <c r="Q60" s="636"/>
      <c r="R60" s="636"/>
      <c r="S60" s="636"/>
      <c r="T60" s="636"/>
      <c r="U60" s="639"/>
      <c r="V60" s="640"/>
      <c r="W60" s="636"/>
      <c r="X60" s="636"/>
      <c r="Y60" s="636"/>
      <c r="Z60" s="636"/>
      <c r="AA60" s="637"/>
      <c r="AB60" s="635"/>
      <c r="AC60" s="641"/>
      <c r="AD60" s="642"/>
      <c r="AE60" s="641"/>
      <c r="AF60" s="642"/>
      <c r="AG60" s="641"/>
      <c r="AH60" s="635"/>
      <c r="AI60" s="636"/>
      <c r="AJ60" s="636"/>
      <c r="AK60" s="639"/>
      <c r="AL60" s="635"/>
      <c r="AM60" s="636"/>
      <c r="AN60" s="636"/>
      <c r="AO60" s="636"/>
      <c r="AP60" s="636"/>
      <c r="AQ60" s="639"/>
      <c r="AR60" s="635"/>
      <c r="AS60" s="639"/>
      <c r="AT60" s="643"/>
      <c r="AU60" s="567"/>
      <c r="AV60" s="567"/>
      <c r="AW60" s="567"/>
      <c r="AX60" s="567"/>
      <c r="AY60" s="644"/>
      <c r="BA60" s="490"/>
      <c r="BC60" s="631"/>
      <c r="BD60" s="631"/>
      <c r="BE60" s="480"/>
      <c r="BF60" s="570"/>
    </row>
    <row r="61" spans="1:58" s="645" customFormat="1" ht="15" x14ac:dyDescent="0.25">
      <c r="A61" s="644" t="s">
        <v>249</v>
      </c>
      <c r="B61" s="644" t="s">
        <v>250</v>
      </c>
      <c r="C61" s="646">
        <v>206189</v>
      </c>
      <c r="D61" s="635">
        <v>206189</v>
      </c>
      <c r="E61" s="647"/>
      <c r="F61" s="648"/>
      <c r="G61" s="551">
        <v>5400</v>
      </c>
      <c r="H61" s="551">
        <v>5880</v>
      </c>
      <c r="I61" s="551">
        <v>4680</v>
      </c>
      <c r="J61" s="649">
        <f>SUM(G61:I61)</f>
        <v>15960</v>
      </c>
      <c r="K61" s="650"/>
      <c r="L61" s="651">
        <f t="shared" ref="L61:L210" si="14">IF(K61&lt;0,F61,J61)</f>
        <v>15960</v>
      </c>
      <c r="M61" s="650" t="s">
        <v>251</v>
      </c>
      <c r="N61" s="553">
        <v>3.6804985850845933</v>
      </c>
      <c r="O61" s="652">
        <f t="shared" ref="O61:O210" si="15">ROUND(N61*L61,0)</f>
        <v>58741</v>
      </c>
      <c r="P61" s="640"/>
      <c r="Q61" s="653">
        <v>11520</v>
      </c>
      <c r="R61" s="653">
        <v>9576</v>
      </c>
      <c r="S61" s="653">
        <v>11738.203578947368</v>
      </c>
      <c r="T61" s="650">
        <v>0.2036</v>
      </c>
      <c r="U61" s="652">
        <f>SUM(Q61+R61+S61)*T61</f>
        <v>6685.0438486736839</v>
      </c>
      <c r="V61" s="640"/>
      <c r="W61" s="653">
        <v>120</v>
      </c>
      <c r="X61" s="653">
        <v>378</v>
      </c>
      <c r="Y61" s="653">
        <v>120</v>
      </c>
      <c r="Z61" s="650">
        <v>1.7611399999999999</v>
      </c>
      <c r="AA61" s="654">
        <f>SUM(W61+X61+Y61)*Z61</f>
        <v>1088.3845200000001</v>
      </c>
      <c r="AB61" s="635"/>
      <c r="AC61" s="655"/>
      <c r="AD61" s="642"/>
      <c r="AE61" s="655"/>
      <c r="AF61" s="642"/>
      <c r="AG61" s="655"/>
      <c r="AH61" s="635"/>
      <c r="AI61" s="656"/>
      <c r="AJ61" s="657"/>
      <c r="AK61" s="658">
        <f t="shared" ref="AK61:AK210" si="16">AJ61*AI61</f>
        <v>0</v>
      </c>
      <c r="AL61" s="635"/>
      <c r="AM61" s="653">
        <v>2160</v>
      </c>
      <c r="AN61" s="653">
        <v>1470</v>
      </c>
      <c r="AO61" s="653">
        <v>2160</v>
      </c>
      <c r="AP61" s="650">
        <v>0.2036</v>
      </c>
      <c r="AQ61" s="652">
        <f>SUM(AM61+AN61+AO61)*AP61</f>
        <v>1178.8440000000001</v>
      </c>
      <c r="AR61" s="635"/>
      <c r="AS61" s="659">
        <f>SUM(AQ61,AK61,AA61,U61,O61,AC61,AE61,AG61)</f>
        <v>67693.272368673686</v>
      </c>
      <c r="AT61" s="643"/>
      <c r="AU61" s="567"/>
      <c r="AV61" s="567"/>
      <c r="AW61" s="567"/>
      <c r="AX61" s="567">
        <f>AV61+AU61+AS61</f>
        <v>67693.272368673686</v>
      </c>
      <c r="AY61" s="660"/>
      <c r="AZ61" s="631"/>
      <c r="BA61" s="490"/>
      <c r="BC61" s="631"/>
      <c r="BD61" s="631"/>
      <c r="BE61" s="480">
        <v>6685.0438486736839</v>
      </c>
      <c r="BF61" s="570">
        <f t="shared" si="12"/>
        <v>0</v>
      </c>
    </row>
    <row r="62" spans="1:58" s="645" customFormat="1" ht="15" x14ac:dyDescent="0.25">
      <c r="A62" s="661" t="s">
        <v>763</v>
      </c>
      <c r="B62" s="644" t="s">
        <v>764</v>
      </c>
      <c r="C62" s="662" t="s">
        <v>765</v>
      </c>
      <c r="D62" s="635">
        <v>466545</v>
      </c>
      <c r="E62" s="663"/>
      <c r="F62" s="664"/>
      <c r="G62" s="551">
        <v>1080</v>
      </c>
      <c r="H62" s="551">
        <v>1260</v>
      </c>
      <c r="I62" s="551">
        <v>1440</v>
      </c>
      <c r="J62" s="649">
        <f>SUM(G62:I62)</f>
        <v>3780</v>
      </c>
      <c r="K62" s="650"/>
      <c r="L62" s="651">
        <f t="shared" si="14"/>
        <v>3780</v>
      </c>
      <c r="M62" s="650" t="s">
        <v>251</v>
      </c>
      <c r="N62" s="553">
        <v>3.6804985850845933</v>
      </c>
      <c r="O62" s="652">
        <f t="shared" si="15"/>
        <v>13912</v>
      </c>
      <c r="P62" s="640"/>
      <c r="Q62" s="653">
        <v>2160</v>
      </c>
      <c r="R62" s="653">
        <v>0</v>
      </c>
      <c r="S62" s="653">
        <v>0</v>
      </c>
      <c r="T62" s="650">
        <v>0.2036</v>
      </c>
      <c r="U62" s="652">
        <f t="shared" ref="U62:U125" si="17">SUM(Q62+R62+S62)*T62</f>
        <v>439.77600000000001</v>
      </c>
      <c r="V62" s="640"/>
      <c r="W62" s="653">
        <v>0</v>
      </c>
      <c r="X62" s="653">
        <v>0</v>
      </c>
      <c r="Y62" s="653">
        <v>0</v>
      </c>
      <c r="Z62" s="650">
        <v>1.7611399999999999</v>
      </c>
      <c r="AA62" s="654">
        <f t="shared" ref="AA62:AA125" si="18">SUM(W62+X62+Y62)*Z62</f>
        <v>0</v>
      </c>
      <c r="AB62" s="635"/>
      <c r="AC62" s="655"/>
      <c r="AD62" s="642"/>
      <c r="AE62" s="655"/>
      <c r="AF62" s="642"/>
      <c r="AG62" s="655"/>
      <c r="AH62" s="635"/>
      <c r="AI62" s="656"/>
      <c r="AJ62" s="657"/>
      <c r="AK62" s="658">
        <f t="shared" si="16"/>
        <v>0</v>
      </c>
      <c r="AL62" s="635"/>
      <c r="AM62" s="653">
        <v>0</v>
      </c>
      <c r="AN62" s="653">
        <v>0</v>
      </c>
      <c r="AO62" s="653">
        <v>0</v>
      </c>
      <c r="AP62" s="650">
        <v>0.2036</v>
      </c>
      <c r="AQ62" s="652">
        <f t="shared" ref="AQ62:AQ125" si="19">SUM(AM62+AN62+AO62)*AP62</f>
        <v>0</v>
      </c>
      <c r="AR62" s="635"/>
      <c r="AS62" s="659">
        <f t="shared" ref="AS62:AS77" si="20">SUM(AQ62,AK62,AA62,U62,O62,AC62,AE62,AG62)</f>
        <v>14351.776</v>
      </c>
      <c r="AT62" s="643"/>
      <c r="AU62" s="567"/>
      <c r="AV62" s="567"/>
      <c r="AW62" s="567"/>
      <c r="AX62" s="567">
        <f>AV62+AU62+AS62</f>
        <v>14351.776</v>
      </c>
      <c r="AY62" s="660"/>
      <c r="AZ62" s="631"/>
      <c r="BA62" s="490"/>
      <c r="BC62" s="631"/>
      <c r="BD62" s="631"/>
      <c r="BE62" s="480">
        <v>439.77600000000001</v>
      </c>
      <c r="BF62" s="570">
        <f t="shared" si="12"/>
        <v>0</v>
      </c>
    </row>
    <row r="63" spans="1:58" s="645" customFormat="1" ht="15" x14ac:dyDescent="0.25">
      <c r="A63" s="665" t="s">
        <v>252</v>
      </c>
      <c r="B63" s="666"/>
      <c r="C63" s="667" t="s">
        <v>253</v>
      </c>
      <c r="D63" s="635">
        <v>362920</v>
      </c>
      <c r="E63" s="663"/>
      <c r="F63" s="664"/>
      <c r="G63" s="551">
        <v>5400</v>
      </c>
      <c r="H63" s="551">
        <v>2100</v>
      </c>
      <c r="I63" s="551">
        <v>5040</v>
      </c>
      <c r="J63" s="649">
        <f t="shared" ref="J63:J159" si="21">SUM(G63:I63)</f>
        <v>12540</v>
      </c>
      <c r="K63" s="668"/>
      <c r="L63" s="669">
        <f t="shared" si="14"/>
        <v>12540</v>
      </c>
      <c r="M63" s="668" t="s">
        <v>251</v>
      </c>
      <c r="N63" s="553">
        <v>3.6804985850845933</v>
      </c>
      <c r="O63" s="670">
        <f t="shared" si="15"/>
        <v>46153</v>
      </c>
      <c r="P63" s="640"/>
      <c r="Q63" s="653">
        <v>14220</v>
      </c>
      <c r="R63" s="653">
        <v>5880</v>
      </c>
      <c r="S63" s="653">
        <v>13422.609473684211</v>
      </c>
      <c r="T63" s="650">
        <v>0.2036</v>
      </c>
      <c r="U63" s="652">
        <f t="shared" si="17"/>
        <v>6825.2032888421063</v>
      </c>
      <c r="V63" s="640"/>
      <c r="W63" s="653">
        <v>180</v>
      </c>
      <c r="X63" s="653">
        <v>0</v>
      </c>
      <c r="Y63" s="653">
        <v>180</v>
      </c>
      <c r="Z63" s="650">
        <v>1.7611399999999999</v>
      </c>
      <c r="AA63" s="654">
        <f t="shared" si="18"/>
        <v>634.0104</v>
      </c>
      <c r="AB63" s="635"/>
      <c r="AC63" s="671"/>
      <c r="AD63" s="642"/>
      <c r="AE63" s="671"/>
      <c r="AF63" s="642"/>
      <c r="AG63" s="671"/>
      <c r="AH63" s="635"/>
      <c r="AI63" s="672"/>
      <c r="AJ63" s="673"/>
      <c r="AK63" s="658">
        <f t="shared" si="16"/>
        <v>0</v>
      </c>
      <c r="AL63" s="635"/>
      <c r="AM63" s="653">
        <v>3780</v>
      </c>
      <c r="AN63" s="653">
        <v>1260</v>
      </c>
      <c r="AO63" s="653">
        <v>3780</v>
      </c>
      <c r="AP63" s="650">
        <v>0.2036</v>
      </c>
      <c r="AQ63" s="652">
        <f t="shared" si="19"/>
        <v>1795.752</v>
      </c>
      <c r="AR63" s="635"/>
      <c r="AS63" s="659">
        <f t="shared" si="20"/>
        <v>55407.965688842109</v>
      </c>
      <c r="AT63" s="643"/>
      <c r="AU63" s="567"/>
      <c r="AV63" s="567"/>
      <c r="AW63" s="567"/>
      <c r="AX63" s="567">
        <f t="shared" ref="AX63:AX159" si="22">AV63+AU63+AS63</f>
        <v>55407.965688842109</v>
      </c>
      <c r="AY63" s="660"/>
      <c r="AZ63" s="631"/>
      <c r="BA63" s="490"/>
      <c r="BC63" s="631"/>
      <c r="BD63" s="631"/>
      <c r="BE63" s="480">
        <v>6825.2032888421063</v>
      </c>
      <c r="BF63" s="570">
        <f t="shared" si="12"/>
        <v>0</v>
      </c>
    </row>
    <row r="64" spans="1:58" s="645" customFormat="1" ht="15" x14ac:dyDescent="0.25">
      <c r="A64" s="644" t="s">
        <v>254</v>
      </c>
      <c r="B64" s="644" t="s">
        <v>255</v>
      </c>
      <c r="C64" s="646" t="s">
        <v>256</v>
      </c>
      <c r="D64" s="635">
        <v>380753</v>
      </c>
      <c r="E64" s="663"/>
      <c r="F64" s="664"/>
      <c r="G64" s="551">
        <v>5400</v>
      </c>
      <c r="H64" s="551">
        <v>3600</v>
      </c>
      <c r="I64" s="551">
        <v>4320</v>
      </c>
      <c r="J64" s="649">
        <f t="shared" si="21"/>
        <v>13320</v>
      </c>
      <c r="K64" s="668"/>
      <c r="L64" s="669">
        <f t="shared" si="14"/>
        <v>13320</v>
      </c>
      <c r="M64" s="668" t="s">
        <v>251</v>
      </c>
      <c r="N64" s="553">
        <v>3.6804985850845933</v>
      </c>
      <c r="O64" s="670">
        <f t="shared" si="15"/>
        <v>49024</v>
      </c>
      <c r="P64" s="640"/>
      <c r="Q64" s="653">
        <v>8244</v>
      </c>
      <c r="R64" s="653">
        <v>8820</v>
      </c>
      <c r="S64" s="653">
        <v>3107.6478947368423</v>
      </c>
      <c r="T64" s="650">
        <v>0.2036</v>
      </c>
      <c r="U64" s="652">
        <f t="shared" si="17"/>
        <v>4106.9475113684211</v>
      </c>
      <c r="V64" s="640"/>
      <c r="W64" s="653">
        <v>540</v>
      </c>
      <c r="X64" s="653">
        <v>0</v>
      </c>
      <c r="Y64" s="653">
        <v>540</v>
      </c>
      <c r="Z64" s="650">
        <v>1.7611399999999999</v>
      </c>
      <c r="AA64" s="654">
        <f t="shared" si="18"/>
        <v>1902.0311999999999</v>
      </c>
      <c r="AB64" s="635"/>
      <c r="AC64" s="671"/>
      <c r="AD64" s="642"/>
      <c r="AE64" s="671"/>
      <c r="AF64" s="642"/>
      <c r="AG64" s="671"/>
      <c r="AH64" s="635"/>
      <c r="AI64" s="672"/>
      <c r="AJ64" s="673"/>
      <c r="AK64" s="658">
        <f t="shared" si="16"/>
        <v>0</v>
      </c>
      <c r="AL64" s="635"/>
      <c r="AM64" s="653">
        <v>0</v>
      </c>
      <c r="AN64" s="653">
        <v>840</v>
      </c>
      <c r="AO64" s="653">
        <v>0</v>
      </c>
      <c r="AP64" s="650">
        <v>0.2036</v>
      </c>
      <c r="AQ64" s="652">
        <f t="shared" si="19"/>
        <v>171.024</v>
      </c>
      <c r="AR64" s="635"/>
      <c r="AS64" s="659">
        <f t="shared" si="20"/>
        <v>55204.002711368419</v>
      </c>
      <c r="AT64" s="643"/>
      <c r="AU64" s="567"/>
      <c r="AV64" s="567"/>
      <c r="AW64" s="567"/>
      <c r="AX64" s="567">
        <f t="shared" si="22"/>
        <v>55204.002711368419</v>
      </c>
      <c r="AY64" s="660"/>
      <c r="AZ64" s="631"/>
      <c r="BA64" s="490"/>
      <c r="BC64" s="631"/>
      <c r="BD64" s="631"/>
      <c r="BE64" s="480">
        <v>4106.9475113684211</v>
      </c>
      <c r="BF64" s="570">
        <f t="shared" si="12"/>
        <v>0</v>
      </c>
    </row>
    <row r="65" spans="1:60" s="645" customFormat="1" ht="15" x14ac:dyDescent="0.25">
      <c r="A65" s="674" t="s">
        <v>257</v>
      </c>
      <c r="B65" s="675"/>
      <c r="C65" s="667" t="s">
        <v>258</v>
      </c>
      <c r="D65" s="635">
        <v>467568</v>
      </c>
      <c r="E65" s="663"/>
      <c r="F65" s="664"/>
      <c r="G65" s="551">
        <v>2340</v>
      </c>
      <c r="H65" s="551">
        <v>2520</v>
      </c>
      <c r="I65" s="551">
        <v>2160</v>
      </c>
      <c r="J65" s="649">
        <f t="shared" si="21"/>
        <v>7020</v>
      </c>
      <c r="K65" s="668"/>
      <c r="L65" s="669">
        <f t="shared" si="14"/>
        <v>7020</v>
      </c>
      <c r="M65" s="668" t="s">
        <v>251</v>
      </c>
      <c r="N65" s="553">
        <v>3.6804985850845933</v>
      </c>
      <c r="O65" s="670">
        <f t="shared" si="15"/>
        <v>25837</v>
      </c>
      <c r="P65" s="640"/>
      <c r="Q65" s="653">
        <v>2880</v>
      </c>
      <c r="R65" s="653">
        <v>2310</v>
      </c>
      <c r="S65" s="653">
        <v>972.44747368420985</v>
      </c>
      <c r="T65" s="650">
        <v>0.2036</v>
      </c>
      <c r="U65" s="652">
        <f t="shared" si="17"/>
        <v>1254.6743056421051</v>
      </c>
      <c r="V65" s="640"/>
      <c r="W65" s="653">
        <v>180</v>
      </c>
      <c r="X65" s="653">
        <v>210</v>
      </c>
      <c r="Y65" s="653">
        <v>180</v>
      </c>
      <c r="Z65" s="650">
        <v>1.7611399999999999</v>
      </c>
      <c r="AA65" s="654">
        <f t="shared" si="18"/>
        <v>1003.8498</v>
      </c>
      <c r="AB65" s="635"/>
      <c r="AC65" s="671"/>
      <c r="AD65" s="642"/>
      <c r="AE65" s="671"/>
      <c r="AF65" s="642"/>
      <c r="AG65" s="671"/>
      <c r="AH65" s="635"/>
      <c r="AI65" s="672"/>
      <c r="AJ65" s="673"/>
      <c r="AK65" s="658">
        <f t="shared" si="16"/>
        <v>0</v>
      </c>
      <c r="AL65" s="635"/>
      <c r="AM65" s="653">
        <v>0</v>
      </c>
      <c r="AN65" s="653">
        <v>210</v>
      </c>
      <c r="AO65" s="653">
        <v>0</v>
      </c>
      <c r="AP65" s="650">
        <v>0.2036</v>
      </c>
      <c r="AQ65" s="652">
        <f t="shared" si="19"/>
        <v>42.756</v>
      </c>
      <c r="AR65" s="635"/>
      <c r="AS65" s="659">
        <f t="shared" si="20"/>
        <v>28138.280105642105</v>
      </c>
      <c r="AT65" s="643"/>
      <c r="AU65" s="567"/>
      <c r="AV65" s="567"/>
      <c r="AW65" s="567"/>
      <c r="AX65" s="567">
        <f t="shared" si="22"/>
        <v>28138.280105642105</v>
      </c>
      <c r="AY65" s="660"/>
      <c r="AZ65" s="631"/>
      <c r="BA65" s="490"/>
      <c r="BC65" s="631"/>
      <c r="BD65" s="631"/>
      <c r="BE65" s="480">
        <v>1254.6743056421051</v>
      </c>
      <c r="BF65" s="570">
        <f t="shared" si="12"/>
        <v>0</v>
      </c>
    </row>
    <row r="66" spans="1:60" s="645" customFormat="1" ht="15" x14ac:dyDescent="0.25">
      <c r="A66" s="676" t="s">
        <v>259</v>
      </c>
      <c r="B66" s="644"/>
      <c r="C66" s="677" t="s">
        <v>260</v>
      </c>
      <c r="D66" s="635">
        <v>467617</v>
      </c>
      <c r="E66" s="663"/>
      <c r="F66" s="664"/>
      <c r="G66" s="551">
        <v>4140</v>
      </c>
      <c r="H66" s="551">
        <v>1680</v>
      </c>
      <c r="I66" s="551">
        <v>1440</v>
      </c>
      <c r="J66" s="649">
        <f t="shared" si="21"/>
        <v>7260</v>
      </c>
      <c r="K66" s="668"/>
      <c r="L66" s="669">
        <f t="shared" si="14"/>
        <v>7260</v>
      </c>
      <c r="M66" s="668" t="s">
        <v>251</v>
      </c>
      <c r="N66" s="553">
        <v>3.6804985850845933</v>
      </c>
      <c r="O66" s="670">
        <f t="shared" si="15"/>
        <v>26720</v>
      </c>
      <c r="P66" s="640"/>
      <c r="Q66" s="653">
        <v>6480</v>
      </c>
      <c r="R66" s="653">
        <v>7140</v>
      </c>
      <c r="S66" s="653">
        <v>921.15947368421052</v>
      </c>
      <c r="T66" s="650">
        <v>0.2036</v>
      </c>
      <c r="U66" s="652">
        <f t="shared" si="17"/>
        <v>2960.5800688421054</v>
      </c>
      <c r="V66" s="640"/>
      <c r="W66" s="653">
        <v>0</v>
      </c>
      <c r="X66" s="653">
        <v>0</v>
      </c>
      <c r="Y66" s="653">
        <v>0</v>
      </c>
      <c r="Z66" s="650">
        <v>1.7611399999999999</v>
      </c>
      <c r="AA66" s="654">
        <f t="shared" si="18"/>
        <v>0</v>
      </c>
      <c r="AB66" s="635"/>
      <c r="AC66" s="671"/>
      <c r="AD66" s="642"/>
      <c r="AE66" s="671"/>
      <c r="AF66" s="642"/>
      <c r="AG66" s="671"/>
      <c r="AH66" s="635"/>
      <c r="AI66" s="672"/>
      <c r="AJ66" s="673"/>
      <c r="AK66" s="658">
        <f t="shared" si="16"/>
        <v>0</v>
      </c>
      <c r="AL66" s="635"/>
      <c r="AM66" s="653">
        <v>0</v>
      </c>
      <c r="AN66" s="653">
        <v>0</v>
      </c>
      <c r="AO66" s="653">
        <v>0</v>
      </c>
      <c r="AP66" s="650">
        <v>0.2036</v>
      </c>
      <c r="AQ66" s="652">
        <f t="shared" si="19"/>
        <v>0</v>
      </c>
      <c r="AR66" s="635"/>
      <c r="AS66" s="659">
        <f t="shared" si="20"/>
        <v>29680.580068842104</v>
      </c>
      <c r="AT66" s="643"/>
      <c r="AU66" s="567"/>
      <c r="AV66" s="567"/>
      <c r="AW66" s="567"/>
      <c r="AX66" s="567">
        <f t="shared" si="22"/>
        <v>29680.580068842104</v>
      </c>
      <c r="AY66" s="660"/>
      <c r="AZ66" s="631"/>
      <c r="BA66" s="490"/>
      <c r="BC66" s="631"/>
      <c r="BD66" s="631"/>
      <c r="BE66" s="480">
        <v>2960.5800688421054</v>
      </c>
      <c r="BF66" s="570">
        <f t="shared" si="12"/>
        <v>0</v>
      </c>
    </row>
    <row r="67" spans="1:60" s="645" customFormat="1" ht="15" x14ac:dyDescent="0.25">
      <c r="A67" s="676" t="s">
        <v>261</v>
      </c>
      <c r="B67" s="644"/>
      <c r="C67" s="678" t="s">
        <v>766</v>
      </c>
      <c r="D67" s="635">
        <v>467609</v>
      </c>
      <c r="E67" s="663"/>
      <c r="F67" s="664"/>
      <c r="G67" s="551">
        <v>0</v>
      </c>
      <c r="H67" s="551">
        <v>0</v>
      </c>
      <c r="I67" s="551">
        <v>0</v>
      </c>
      <c r="J67" s="649">
        <f t="shared" si="21"/>
        <v>0</v>
      </c>
      <c r="K67" s="668"/>
      <c r="L67" s="669">
        <f t="shared" si="14"/>
        <v>0</v>
      </c>
      <c r="M67" s="668" t="s">
        <v>251</v>
      </c>
      <c r="N67" s="553">
        <v>3.6804985850845933</v>
      </c>
      <c r="O67" s="670">
        <f t="shared" si="15"/>
        <v>0</v>
      </c>
      <c r="P67" s="640"/>
      <c r="Q67" s="653">
        <v>0</v>
      </c>
      <c r="R67" s="653">
        <v>0</v>
      </c>
      <c r="S67" s="653">
        <v>0</v>
      </c>
      <c r="T67" s="650">
        <v>0.2036</v>
      </c>
      <c r="U67" s="652">
        <f t="shared" si="17"/>
        <v>0</v>
      </c>
      <c r="V67" s="640"/>
      <c r="W67" s="653">
        <v>0</v>
      </c>
      <c r="X67" s="653">
        <v>0</v>
      </c>
      <c r="Y67" s="653">
        <v>0</v>
      </c>
      <c r="Z67" s="650">
        <v>1.7611399999999999</v>
      </c>
      <c r="AA67" s="654">
        <f t="shared" si="18"/>
        <v>0</v>
      </c>
      <c r="AB67" s="635"/>
      <c r="AC67" s="671"/>
      <c r="AD67" s="642"/>
      <c r="AE67" s="671"/>
      <c r="AF67" s="642"/>
      <c r="AG67" s="671"/>
      <c r="AH67" s="635"/>
      <c r="AI67" s="672"/>
      <c r="AJ67" s="673"/>
      <c r="AK67" s="658">
        <f t="shared" si="16"/>
        <v>0</v>
      </c>
      <c r="AL67" s="635"/>
      <c r="AM67" s="653">
        <v>0</v>
      </c>
      <c r="AN67" s="653">
        <v>0</v>
      </c>
      <c r="AO67" s="653">
        <v>0</v>
      </c>
      <c r="AP67" s="650">
        <v>0.2036</v>
      </c>
      <c r="AQ67" s="652">
        <f t="shared" si="19"/>
        <v>0</v>
      </c>
      <c r="AR67" s="635"/>
      <c r="AS67" s="659">
        <f t="shared" si="20"/>
        <v>0</v>
      </c>
      <c r="AT67" s="643"/>
      <c r="AU67" s="567"/>
      <c r="AV67" s="567"/>
      <c r="AW67" s="567"/>
      <c r="AX67" s="567">
        <f t="shared" si="22"/>
        <v>0</v>
      </c>
      <c r="AY67" s="660"/>
      <c r="AZ67" s="631"/>
      <c r="BA67" s="490"/>
      <c r="BC67" s="631"/>
      <c r="BD67" s="631"/>
      <c r="BE67" s="480">
        <v>329.83199999999999</v>
      </c>
      <c r="BF67" s="570">
        <f t="shared" si="12"/>
        <v>329.83199999999999</v>
      </c>
    </row>
    <row r="68" spans="1:60" s="645" customFormat="1" ht="15" x14ac:dyDescent="0.25">
      <c r="A68" s="679" t="s">
        <v>262</v>
      </c>
      <c r="B68" s="680"/>
      <c r="C68" s="667" t="s">
        <v>263</v>
      </c>
      <c r="D68" s="635">
        <v>450983</v>
      </c>
      <c r="E68" s="663"/>
      <c r="F68" s="664"/>
      <c r="G68" s="551">
        <v>11700</v>
      </c>
      <c r="H68" s="551">
        <v>10500</v>
      </c>
      <c r="I68" s="551">
        <v>10800</v>
      </c>
      <c r="J68" s="649">
        <f t="shared" si="21"/>
        <v>33000</v>
      </c>
      <c r="K68" s="668"/>
      <c r="L68" s="669">
        <f t="shared" si="14"/>
        <v>33000</v>
      </c>
      <c r="M68" s="668" t="s">
        <v>251</v>
      </c>
      <c r="N68" s="553">
        <v>3.6804985850845933</v>
      </c>
      <c r="O68" s="670">
        <f t="shared" si="15"/>
        <v>121456</v>
      </c>
      <c r="P68" s="640"/>
      <c r="Q68" s="653">
        <v>8964</v>
      </c>
      <c r="R68" s="653">
        <v>9534</v>
      </c>
      <c r="S68" s="653">
        <v>3953.8998947368418</v>
      </c>
      <c r="T68" s="650">
        <v>0.2036</v>
      </c>
      <c r="U68" s="652">
        <f t="shared" si="17"/>
        <v>4571.2068185684211</v>
      </c>
      <c r="V68" s="640"/>
      <c r="W68" s="653">
        <v>180</v>
      </c>
      <c r="X68" s="653">
        <v>0</v>
      </c>
      <c r="Y68" s="653">
        <v>180</v>
      </c>
      <c r="Z68" s="650">
        <v>1.7611399999999999</v>
      </c>
      <c r="AA68" s="654">
        <f t="shared" si="18"/>
        <v>634.0104</v>
      </c>
      <c r="AB68" s="635"/>
      <c r="AC68" s="671"/>
      <c r="AD68" s="642"/>
      <c r="AE68" s="671"/>
      <c r="AF68" s="642"/>
      <c r="AG68" s="671"/>
      <c r="AH68" s="635"/>
      <c r="AI68" s="672"/>
      <c r="AJ68" s="673"/>
      <c r="AK68" s="658">
        <f t="shared" si="16"/>
        <v>0</v>
      </c>
      <c r="AL68" s="635"/>
      <c r="AM68" s="653">
        <v>36</v>
      </c>
      <c r="AN68" s="653">
        <v>0</v>
      </c>
      <c r="AO68" s="653">
        <v>36</v>
      </c>
      <c r="AP68" s="650">
        <v>0.2036</v>
      </c>
      <c r="AQ68" s="652">
        <f t="shared" si="19"/>
        <v>14.6592</v>
      </c>
      <c r="AR68" s="635"/>
      <c r="AS68" s="659">
        <f t="shared" si="20"/>
        <v>126675.87641856843</v>
      </c>
      <c r="AT68" s="643"/>
      <c r="AU68" s="567"/>
      <c r="AV68" s="567"/>
      <c r="AW68" s="567"/>
      <c r="AX68" s="567">
        <f t="shared" si="22"/>
        <v>126675.87641856843</v>
      </c>
      <c r="AY68" s="660"/>
      <c r="AZ68" s="631"/>
      <c r="BA68" s="490"/>
      <c r="BC68" s="631"/>
      <c r="BD68" s="631"/>
      <c r="BE68" s="480">
        <v>4571.2068185684211</v>
      </c>
      <c r="BF68" s="570">
        <f t="shared" si="12"/>
        <v>0</v>
      </c>
    </row>
    <row r="69" spans="1:60" s="645" customFormat="1" ht="15" x14ac:dyDescent="0.25">
      <c r="A69" s="644" t="s">
        <v>264</v>
      </c>
      <c r="B69" s="644" t="s">
        <v>265</v>
      </c>
      <c r="C69" s="646">
        <v>206124</v>
      </c>
      <c r="D69" s="635">
        <v>206124</v>
      </c>
      <c r="E69" s="663"/>
      <c r="F69" s="664"/>
      <c r="G69" s="551">
        <v>2880</v>
      </c>
      <c r="H69" s="551">
        <v>1890</v>
      </c>
      <c r="I69" s="551">
        <v>2160</v>
      </c>
      <c r="J69" s="649">
        <f t="shared" si="21"/>
        <v>6930</v>
      </c>
      <c r="K69" s="668"/>
      <c r="L69" s="669">
        <f t="shared" si="14"/>
        <v>6930</v>
      </c>
      <c r="M69" s="668" t="s">
        <v>266</v>
      </c>
      <c r="N69" s="553">
        <v>3.6804985850845933</v>
      </c>
      <c r="O69" s="670">
        <f t="shared" si="15"/>
        <v>25506</v>
      </c>
      <c r="P69" s="640"/>
      <c r="Q69" s="653">
        <v>5400</v>
      </c>
      <c r="R69" s="653">
        <v>3150</v>
      </c>
      <c r="S69" s="653">
        <v>4702.9746315789471</v>
      </c>
      <c r="T69" s="650">
        <v>0.2036</v>
      </c>
      <c r="U69" s="652">
        <f t="shared" si="17"/>
        <v>2698.3056349894737</v>
      </c>
      <c r="V69" s="640"/>
      <c r="W69" s="653">
        <v>0</v>
      </c>
      <c r="X69" s="653">
        <v>0</v>
      </c>
      <c r="Y69" s="653">
        <v>0</v>
      </c>
      <c r="Z69" s="650">
        <v>1.7611399999999999</v>
      </c>
      <c r="AA69" s="654">
        <f t="shared" si="18"/>
        <v>0</v>
      </c>
      <c r="AB69" s="635"/>
      <c r="AC69" s="671"/>
      <c r="AD69" s="642"/>
      <c r="AE69" s="671"/>
      <c r="AF69" s="642"/>
      <c r="AG69" s="671"/>
      <c r="AH69" s="635"/>
      <c r="AI69" s="672"/>
      <c r="AJ69" s="673"/>
      <c r="AK69" s="658">
        <f t="shared" si="16"/>
        <v>0</v>
      </c>
      <c r="AL69" s="635"/>
      <c r="AM69" s="653">
        <v>360</v>
      </c>
      <c r="AN69" s="653">
        <v>0</v>
      </c>
      <c r="AO69" s="653">
        <v>360</v>
      </c>
      <c r="AP69" s="650">
        <v>0.2036</v>
      </c>
      <c r="AQ69" s="652">
        <f t="shared" si="19"/>
        <v>146.59200000000001</v>
      </c>
      <c r="AR69" s="635"/>
      <c r="AS69" s="659">
        <f t="shared" si="20"/>
        <v>28350.897634989473</v>
      </c>
      <c r="AT69" s="643"/>
      <c r="AU69" s="567"/>
      <c r="AV69" s="567"/>
      <c r="AW69" s="567"/>
      <c r="AX69" s="567">
        <f t="shared" si="22"/>
        <v>28350.897634989473</v>
      </c>
      <c r="AY69" s="660"/>
      <c r="AZ69" s="631"/>
      <c r="BA69" s="490"/>
      <c r="BC69" s="631"/>
      <c r="BD69" s="631"/>
      <c r="BE69" s="480">
        <v>2698.3056349894737</v>
      </c>
      <c r="BF69" s="570">
        <f t="shared" si="12"/>
        <v>0</v>
      </c>
    </row>
    <row r="70" spans="1:60" s="645" customFormat="1" ht="15" x14ac:dyDescent="0.25">
      <c r="A70" s="644" t="s">
        <v>267</v>
      </c>
      <c r="B70" s="644" t="s">
        <v>268</v>
      </c>
      <c r="C70" s="646" t="s">
        <v>269</v>
      </c>
      <c r="D70" s="635">
        <v>282068</v>
      </c>
      <c r="E70" s="663"/>
      <c r="F70" s="664"/>
      <c r="G70" s="551">
        <v>3612</v>
      </c>
      <c r="H70" s="551">
        <v>1806</v>
      </c>
      <c r="I70" s="551">
        <v>3192</v>
      </c>
      <c r="J70" s="649">
        <f t="shared" si="21"/>
        <v>8610</v>
      </c>
      <c r="K70" s="668"/>
      <c r="L70" s="669">
        <f t="shared" si="14"/>
        <v>8610</v>
      </c>
      <c r="M70" s="668" t="s">
        <v>266</v>
      </c>
      <c r="N70" s="553">
        <v>3.6804985850845933</v>
      </c>
      <c r="O70" s="670">
        <f t="shared" si="15"/>
        <v>31689</v>
      </c>
      <c r="P70" s="640"/>
      <c r="Q70" s="653">
        <v>180</v>
      </c>
      <c r="R70" s="653">
        <v>0</v>
      </c>
      <c r="S70" s="653">
        <v>485.88631578947366</v>
      </c>
      <c r="T70" s="650">
        <v>0.2036</v>
      </c>
      <c r="U70" s="652">
        <f t="shared" si="17"/>
        <v>135.57445389473685</v>
      </c>
      <c r="V70" s="640"/>
      <c r="W70" s="653">
        <v>0</v>
      </c>
      <c r="X70" s="653">
        <v>0</v>
      </c>
      <c r="Y70" s="653">
        <v>0</v>
      </c>
      <c r="Z70" s="650">
        <v>1.7611399999999999</v>
      </c>
      <c r="AA70" s="654">
        <f t="shared" si="18"/>
        <v>0</v>
      </c>
      <c r="AB70" s="635"/>
      <c r="AC70" s="671"/>
      <c r="AD70" s="642"/>
      <c r="AE70" s="671"/>
      <c r="AF70" s="642"/>
      <c r="AG70" s="671"/>
      <c r="AH70" s="635"/>
      <c r="AI70" s="672"/>
      <c r="AJ70" s="673"/>
      <c r="AK70" s="658">
        <f t="shared" si="16"/>
        <v>0</v>
      </c>
      <c r="AL70" s="635"/>
      <c r="AM70" s="653">
        <v>0</v>
      </c>
      <c r="AN70" s="653">
        <v>0</v>
      </c>
      <c r="AO70" s="653">
        <v>0</v>
      </c>
      <c r="AP70" s="650">
        <v>0.2036</v>
      </c>
      <c r="AQ70" s="652">
        <f t="shared" si="19"/>
        <v>0</v>
      </c>
      <c r="AR70" s="635"/>
      <c r="AS70" s="659">
        <f t="shared" si="20"/>
        <v>31824.574453894737</v>
      </c>
      <c r="AT70" s="643"/>
      <c r="AU70" s="567"/>
      <c r="AV70" s="567"/>
      <c r="AW70" s="567"/>
      <c r="AX70" s="567">
        <f t="shared" si="22"/>
        <v>31824.574453894737</v>
      </c>
      <c r="AY70" s="660"/>
      <c r="AZ70" s="631"/>
      <c r="BA70" s="490"/>
      <c r="BC70" s="631"/>
      <c r="BD70" s="631"/>
      <c r="BE70" s="480">
        <v>135.57445389473685</v>
      </c>
      <c r="BF70" s="570">
        <f t="shared" si="12"/>
        <v>0</v>
      </c>
    </row>
    <row r="71" spans="1:60" s="645" customFormat="1" ht="15" x14ac:dyDescent="0.25">
      <c r="A71" s="644" t="s">
        <v>270</v>
      </c>
      <c r="B71" s="644" t="s">
        <v>271</v>
      </c>
      <c r="C71" s="646">
        <v>206126</v>
      </c>
      <c r="D71" s="635">
        <v>206126</v>
      </c>
      <c r="E71" s="663"/>
      <c r="F71" s="664"/>
      <c r="G71" s="551">
        <v>5796</v>
      </c>
      <c r="H71" s="551">
        <v>4914</v>
      </c>
      <c r="I71" s="551">
        <v>4908</v>
      </c>
      <c r="J71" s="649">
        <f t="shared" si="21"/>
        <v>15618</v>
      </c>
      <c r="K71" s="668"/>
      <c r="L71" s="669">
        <f t="shared" si="14"/>
        <v>15618</v>
      </c>
      <c r="M71" s="668" t="s">
        <v>266</v>
      </c>
      <c r="N71" s="553">
        <v>3.6804985850845933</v>
      </c>
      <c r="O71" s="670">
        <f t="shared" si="15"/>
        <v>57482</v>
      </c>
      <c r="P71" s="640"/>
      <c r="Q71" s="653">
        <v>360</v>
      </c>
      <c r="R71" s="653">
        <v>1260</v>
      </c>
      <c r="S71" s="653">
        <v>749.07473684210527</v>
      </c>
      <c r="T71" s="650">
        <v>0.2036</v>
      </c>
      <c r="U71" s="652">
        <f t="shared" si="17"/>
        <v>482.34361642105262</v>
      </c>
      <c r="V71" s="640"/>
      <c r="W71" s="653">
        <v>0</v>
      </c>
      <c r="X71" s="653">
        <v>0</v>
      </c>
      <c r="Y71" s="653">
        <v>0</v>
      </c>
      <c r="Z71" s="650">
        <v>1.7611399999999999</v>
      </c>
      <c r="AA71" s="654">
        <f t="shared" si="18"/>
        <v>0</v>
      </c>
      <c r="AB71" s="635"/>
      <c r="AC71" s="671"/>
      <c r="AD71" s="642"/>
      <c r="AE71" s="671"/>
      <c r="AF71" s="642"/>
      <c r="AG71" s="671"/>
      <c r="AH71" s="635"/>
      <c r="AI71" s="672"/>
      <c r="AJ71" s="673"/>
      <c r="AK71" s="658">
        <f t="shared" si="16"/>
        <v>0</v>
      </c>
      <c r="AL71" s="635"/>
      <c r="AM71" s="653">
        <v>0</v>
      </c>
      <c r="AN71" s="653">
        <v>0</v>
      </c>
      <c r="AO71" s="653">
        <v>0</v>
      </c>
      <c r="AP71" s="650">
        <v>0.2036</v>
      </c>
      <c r="AQ71" s="652">
        <f t="shared" si="19"/>
        <v>0</v>
      </c>
      <c r="AR71" s="635"/>
      <c r="AS71" s="659">
        <f t="shared" si="20"/>
        <v>57964.343616421051</v>
      </c>
      <c r="AT71" s="643"/>
      <c r="AU71" s="567"/>
      <c r="AV71" s="567"/>
      <c r="AW71" s="567"/>
      <c r="AX71" s="567">
        <f t="shared" si="22"/>
        <v>57964.343616421051</v>
      </c>
      <c r="AY71" s="660"/>
      <c r="AZ71" s="631"/>
      <c r="BA71" s="490"/>
      <c r="BC71" s="631"/>
      <c r="BD71" s="631"/>
      <c r="BE71" s="480">
        <v>482.34361642105262</v>
      </c>
      <c r="BF71" s="570">
        <f t="shared" si="12"/>
        <v>0</v>
      </c>
    </row>
    <row r="72" spans="1:60" s="645" customFormat="1" ht="15" x14ac:dyDescent="0.25">
      <c r="A72" s="644" t="s">
        <v>272</v>
      </c>
      <c r="B72" s="644" t="s">
        <v>273</v>
      </c>
      <c r="C72" s="646">
        <v>206111</v>
      </c>
      <c r="D72" s="635">
        <v>206111</v>
      </c>
      <c r="E72" s="663"/>
      <c r="F72" s="664"/>
      <c r="G72" s="551">
        <v>6660</v>
      </c>
      <c r="H72" s="551">
        <v>7560</v>
      </c>
      <c r="I72" s="551">
        <v>4860</v>
      </c>
      <c r="J72" s="649">
        <f t="shared" si="21"/>
        <v>19080</v>
      </c>
      <c r="K72" s="668"/>
      <c r="L72" s="669">
        <f t="shared" si="14"/>
        <v>19080</v>
      </c>
      <c r="M72" s="668" t="s">
        <v>251</v>
      </c>
      <c r="N72" s="553">
        <v>3.6804985850845933</v>
      </c>
      <c r="O72" s="670">
        <f t="shared" si="15"/>
        <v>70224</v>
      </c>
      <c r="P72" s="640"/>
      <c r="Q72" s="653">
        <v>288</v>
      </c>
      <c r="R72" s="653">
        <v>630</v>
      </c>
      <c r="S72" s="653">
        <v>1182.3233684210527</v>
      </c>
      <c r="T72" s="650">
        <v>0.2036</v>
      </c>
      <c r="U72" s="652">
        <f t="shared" si="17"/>
        <v>427.62583781052632</v>
      </c>
      <c r="V72" s="640"/>
      <c r="W72" s="653">
        <v>0</v>
      </c>
      <c r="X72" s="653">
        <v>0</v>
      </c>
      <c r="Y72" s="653">
        <v>0</v>
      </c>
      <c r="Z72" s="650">
        <v>1.7611399999999999</v>
      </c>
      <c r="AA72" s="654">
        <f t="shared" si="18"/>
        <v>0</v>
      </c>
      <c r="AB72" s="635"/>
      <c r="AC72" s="671"/>
      <c r="AD72" s="642"/>
      <c r="AE72" s="671"/>
      <c r="AF72" s="642"/>
      <c r="AG72" s="671"/>
      <c r="AH72" s="635"/>
      <c r="AI72" s="672"/>
      <c r="AJ72" s="673"/>
      <c r="AK72" s="658">
        <f t="shared" si="16"/>
        <v>0</v>
      </c>
      <c r="AL72" s="635"/>
      <c r="AM72" s="653">
        <v>180</v>
      </c>
      <c r="AN72" s="653">
        <v>0</v>
      </c>
      <c r="AO72" s="653">
        <v>180</v>
      </c>
      <c r="AP72" s="650">
        <v>0.2036</v>
      </c>
      <c r="AQ72" s="652">
        <f t="shared" si="19"/>
        <v>73.296000000000006</v>
      </c>
      <c r="AR72" s="635"/>
      <c r="AS72" s="659">
        <f t="shared" si="20"/>
        <v>70724.921837810529</v>
      </c>
      <c r="AT72" s="643"/>
      <c r="AU72" s="567"/>
      <c r="AV72" s="567"/>
      <c r="AW72" s="567"/>
      <c r="AX72" s="567">
        <f t="shared" si="22"/>
        <v>70724.921837810529</v>
      </c>
      <c r="AY72" s="660"/>
      <c r="AZ72" s="631"/>
      <c r="BA72" s="490"/>
      <c r="BC72" s="631"/>
      <c r="BD72" s="631"/>
      <c r="BE72" s="480">
        <v>427.62583781052632</v>
      </c>
      <c r="BF72" s="570">
        <f t="shared" ref="BF72:BF135" si="23">BE72-U72</f>
        <v>0</v>
      </c>
    </row>
    <row r="73" spans="1:60" s="645" customFormat="1" ht="15" x14ac:dyDescent="0.25">
      <c r="A73" s="644" t="s">
        <v>274</v>
      </c>
      <c r="B73" s="644" t="s">
        <v>275</v>
      </c>
      <c r="C73" s="646">
        <v>206091</v>
      </c>
      <c r="D73" s="635">
        <v>206091</v>
      </c>
      <c r="E73" s="663"/>
      <c r="F73" s="664"/>
      <c r="G73" s="551">
        <v>6660</v>
      </c>
      <c r="H73" s="551">
        <v>7560</v>
      </c>
      <c r="I73" s="551">
        <v>4860</v>
      </c>
      <c r="J73" s="649">
        <f t="shared" si="21"/>
        <v>19080</v>
      </c>
      <c r="K73" s="668"/>
      <c r="L73" s="669">
        <f t="shared" si="14"/>
        <v>19080</v>
      </c>
      <c r="M73" s="668" t="s">
        <v>251</v>
      </c>
      <c r="N73" s="553">
        <v>3.6804985850845933</v>
      </c>
      <c r="O73" s="670">
        <f t="shared" si="15"/>
        <v>70224</v>
      </c>
      <c r="P73" s="640"/>
      <c r="Q73" s="653">
        <v>3420</v>
      </c>
      <c r="R73" s="653">
        <v>3990</v>
      </c>
      <c r="S73" s="653">
        <v>850.30105263157884</v>
      </c>
      <c r="T73" s="650">
        <v>0.2036</v>
      </c>
      <c r="U73" s="652">
        <f t="shared" si="17"/>
        <v>1681.7972943157895</v>
      </c>
      <c r="V73" s="640"/>
      <c r="W73" s="653">
        <v>180</v>
      </c>
      <c r="X73" s="653">
        <v>0</v>
      </c>
      <c r="Y73" s="653">
        <v>180</v>
      </c>
      <c r="Z73" s="650">
        <v>1.7611399999999999</v>
      </c>
      <c r="AA73" s="654">
        <f t="shared" si="18"/>
        <v>634.0104</v>
      </c>
      <c r="AB73" s="635"/>
      <c r="AC73" s="671"/>
      <c r="AD73" s="642"/>
      <c r="AE73" s="671"/>
      <c r="AF73" s="642"/>
      <c r="AG73" s="671"/>
      <c r="AH73" s="635"/>
      <c r="AI73" s="672"/>
      <c r="AJ73" s="673"/>
      <c r="AK73" s="658">
        <f t="shared" si="16"/>
        <v>0</v>
      </c>
      <c r="AL73" s="635"/>
      <c r="AM73" s="653">
        <v>180</v>
      </c>
      <c r="AN73" s="653">
        <v>210</v>
      </c>
      <c r="AO73" s="653">
        <v>180</v>
      </c>
      <c r="AP73" s="650">
        <v>0.2036</v>
      </c>
      <c r="AQ73" s="652">
        <f t="shared" si="19"/>
        <v>116.05200000000001</v>
      </c>
      <c r="AR73" s="635"/>
      <c r="AS73" s="659">
        <f t="shared" si="20"/>
        <v>72655.85969431579</v>
      </c>
      <c r="AT73" s="643"/>
      <c r="AU73" s="567"/>
      <c r="AV73" s="567"/>
      <c r="AW73" s="567"/>
      <c r="AX73" s="567">
        <f t="shared" si="22"/>
        <v>72655.85969431579</v>
      </c>
      <c r="AY73" s="660"/>
      <c r="AZ73" s="631"/>
      <c r="BA73" s="490"/>
      <c r="BC73" s="631"/>
      <c r="BD73" s="631"/>
      <c r="BE73" s="480">
        <v>1681.7972943157895</v>
      </c>
      <c r="BF73" s="570">
        <f t="shared" si="23"/>
        <v>0</v>
      </c>
    </row>
    <row r="74" spans="1:60" s="645" customFormat="1" ht="15" x14ac:dyDescent="0.25">
      <c r="A74" s="681" t="s">
        <v>276</v>
      </c>
      <c r="B74" s="644"/>
      <c r="C74" s="662" t="s">
        <v>277</v>
      </c>
      <c r="D74" s="635">
        <v>396374</v>
      </c>
      <c r="E74" s="663"/>
      <c r="F74" s="664"/>
      <c r="G74" s="551">
        <v>2772</v>
      </c>
      <c r="H74" s="551">
        <v>2772</v>
      </c>
      <c r="I74" s="551">
        <v>1764</v>
      </c>
      <c r="J74" s="649">
        <f t="shared" si="21"/>
        <v>7308</v>
      </c>
      <c r="K74" s="668"/>
      <c r="L74" s="669">
        <f t="shared" si="14"/>
        <v>7308</v>
      </c>
      <c r="M74" s="668" t="s">
        <v>251</v>
      </c>
      <c r="N74" s="553">
        <v>3.6804985850845933</v>
      </c>
      <c r="O74" s="670">
        <f t="shared" si="15"/>
        <v>26897</v>
      </c>
      <c r="P74" s="640"/>
      <c r="Q74" s="653">
        <v>7308</v>
      </c>
      <c r="R74" s="653">
        <v>7308</v>
      </c>
      <c r="S74" s="653">
        <v>7118.2345263157895</v>
      </c>
      <c r="T74" s="650">
        <v>0.2036</v>
      </c>
      <c r="U74" s="652">
        <f t="shared" si="17"/>
        <v>4425.0901495578955</v>
      </c>
      <c r="V74" s="640"/>
      <c r="W74" s="653">
        <v>0</v>
      </c>
      <c r="X74" s="653">
        <v>0</v>
      </c>
      <c r="Y74" s="653">
        <v>0</v>
      </c>
      <c r="Z74" s="650">
        <v>1.7611399999999999</v>
      </c>
      <c r="AA74" s="654">
        <f t="shared" si="18"/>
        <v>0</v>
      </c>
      <c r="AB74" s="635"/>
      <c r="AC74" s="671"/>
      <c r="AD74" s="642"/>
      <c r="AE74" s="671"/>
      <c r="AF74" s="642"/>
      <c r="AG74" s="671"/>
      <c r="AH74" s="635"/>
      <c r="AI74" s="672"/>
      <c r="AJ74" s="673"/>
      <c r="AK74" s="658">
        <f t="shared" si="16"/>
        <v>0</v>
      </c>
      <c r="AL74" s="635"/>
      <c r="AM74" s="653">
        <v>1944</v>
      </c>
      <c r="AN74" s="653">
        <v>2562</v>
      </c>
      <c r="AO74" s="653">
        <v>1944</v>
      </c>
      <c r="AP74" s="650">
        <v>0.2036</v>
      </c>
      <c r="AQ74" s="652">
        <f t="shared" si="19"/>
        <v>1313.22</v>
      </c>
      <c r="AR74" s="635"/>
      <c r="AS74" s="659">
        <f t="shared" si="20"/>
        <v>32635.310149557896</v>
      </c>
      <c r="AT74" s="643"/>
      <c r="AU74" s="567"/>
      <c r="AV74" s="567"/>
      <c r="AW74" s="567"/>
      <c r="AX74" s="567">
        <f t="shared" si="22"/>
        <v>32635.310149557896</v>
      </c>
      <c r="AY74" s="660"/>
      <c r="AZ74" s="631"/>
      <c r="BA74" s="490"/>
      <c r="BC74" s="631"/>
      <c r="BD74" s="631"/>
      <c r="BE74" s="480">
        <v>4425.0901495578955</v>
      </c>
      <c r="BF74" s="570">
        <f t="shared" si="23"/>
        <v>0</v>
      </c>
    </row>
    <row r="75" spans="1:60" s="645" customFormat="1" ht="15" x14ac:dyDescent="0.25">
      <c r="A75" s="644" t="s">
        <v>278</v>
      </c>
      <c r="B75" s="644" t="s">
        <v>279</v>
      </c>
      <c r="C75" s="646">
        <v>206128</v>
      </c>
      <c r="D75" s="635">
        <v>206128</v>
      </c>
      <c r="E75" s="663"/>
      <c r="F75" s="664"/>
      <c r="G75" s="551">
        <v>2880</v>
      </c>
      <c r="H75" s="551">
        <v>1050</v>
      </c>
      <c r="I75" s="551">
        <v>2340</v>
      </c>
      <c r="J75" s="649">
        <f t="shared" si="21"/>
        <v>6270</v>
      </c>
      <c r="K75" s="668"/>
      <c r="L75" s="669">
        <f t="shared" si="14"/>
        <v>6270</v>
      </c>
      <c r="M75" s="668" t="s">
        <v>266</v>
      </c>
      <c r="N75" s="553">
        <v>3.6804985850845933</v>
      </c>
      <c r="O75" s="670">
        <f t="shared" si="15"/>
        <v>23077</v>
      </c>
      <c r="P75" s="640"/>
      <c r="Q75" s="653">
        <v>5580</v>
      </c>
      <c r="R75" s="653">
        <v>2310</v>
      </c>
      <c r="S75" s="653">
        <v>4079.4205263157892</v>
      </c>
      <c r="T75" s="650">
        <v>0.2036</v>
      </c>
      <c r="U75" s="652">
        <f t="shared" si="17"/>
        <v>2436.9740191578949</v>
      </c>
      <c r="V75" s="640"/>
      <c r="W75" s="653">
        <v>360</v>
      </c>
      <c r="X75" s="653">
        <v>210</v>
      </c>
      <c r="Y75" s="653">
        <v>360</v>
      </c>
      <c r="Z75" s="650">
        <v>1.7611399999999999</v>
      </c>
      <c r="AA75" s="654">
        <f t="shared" si="18"/>
        <v>1637.8601999999998</v>
      </c>
      <c r="AB75" s="635"/>
      <c r="AC75" s="671"/>
      <c r="AD75" s="642"/>
      <c r="AE75" s="671"/>
      <c r="AF75" s="642"/>
      <c r="AG75" s="671"/>
      <c r="AH75" s="635"/>
      <c r="AI75" s="672"/>
      <c r="AJ75" s="673"/>
      <c r="AK75" s="658">
        <f t="shared" si="16"/>
        <v>0</v>
      </c>
      <c r="AL75" s="635"/>
      <c r="AM75" s="653">
        <v>0</v>
      </c>
      <c r="AN75" s="653">
        <v>0</v>
      </c>
      <c r="AO75" s="653">
        <v>0</v>
      </c>
      <c r="AP75" s="650">
        <v>0.2036</v>
      </c>
      <c r="AQ75" s="652">
        <f t="shared" si="19"/>
        <v>0</v>
      </c>
      <c r="AR75" s="635"/>
      <c r="AS75" s="659">
        <f t="shared" si="20"/>
        <v>27151.834219157896</v>
      </c>
      <c r="AT75" s="643"/>
      <c r="AU75" s="567"/>
      <c r="AV75" s="567"/>
      <c r="AW75" s="567"/>
      <c r="AX75" s="567">
        <f t="shared" si="22"/>
        <v>27151.834219157896</v>
      </c>
      <c r="AY75" s="660"/>
      <c r="AZ75" s="631"/>
      <c r="BA75" s="490"/>
      <c r="BC75" s="631"/>
      <c r="BD75" s="631"/>
      <c r="BE75" s="480">
        <v>2436.9740191578949</v>
      </c>
      <c r="BF75" s="570">
        <f t="shared" si="23"/>
        <v>0</v>
      </c>
    </row>
    <row r="76" spans="1:60" s="645" customFormat="1" ht="15" x14ac:dyDescent="0.25">
      <c r="A76" s="102" t="s">
        <v>280</v>
      </c>
      <c r="B76" s="100"/>
      <c r="C76" s="100" t="s">
        <v>767</v>
      </c>
      <c r="D76" s="635">
        <v>470666</v>
      </c>
      <c r="E76" s="663"/>
      <c r="F76" s="664"/>
      <c r="G76" s="551">
        <v>0</v>
      </c>
      <c r="H76" s="551">
        <v>0</v>
      </c>
      <c r="I76" s="551">
        <v>0</v>
      </c>
      <c r="J76" s="649">
        <f t="shared" si="21"/>
        <v>0</v>
      </c>
      <c r="K76" s="668"/>
      <c r="L76" s="669">
        <f t="shared" si="14"/>
        <v>0</v>
      </c>
      <c r="M76" s="682" t="s">
        <v>266</v>
      </c>
      <c r="N76" s="553">
        <v>3.6804985850845933</v>
      </c>
      <c r="O76" s="670">
        <f t="shared" si="15"/>
        <v>0</v>
      </c>
      <c r="P76" s="640"/>
      <c r="Q76" s="653">
        <v>0</v>
      </c>
      <c r="R76" s="653">
        <v>0</v>
      </c>
      <c r="S76" s="653">
        <v>0</v>
      </c>
      <c r="T76" s="650">
        <v>0.2036</v>
      </c>
      <c r="U76" s="652">
        <f t="shared" si="17"/>
        <v>0</v>
      </c>
      <c r="V76" s="640"/>
      <c r="W76" s="653">
        <v>0</v>
      </c>
      <c r="X76" s="653">
        <v>0</v>
      </c>
      <c r="Y76" s="653">
        <v>0</v>
      </c>
      <c r="Z76" s="650">
        <v>1.7611399999999999</v>
      </c>
      <c r="AA76" s="654">
        <f t="shared" si="18"/>
        <v>0</v>
      </c>
      <c r="AB76" s="635"/>
      <c r="AC76" s="671"/>
      <c r="AD76" s="642"/>
      <c r="AE76" s="671"/>
      <c r="AF76" s="642"/>
      <c r="AG76" s="671"/>
      <c r="AH76" s="635"/>
      <c r="AI76" s="672"/>
      <c r="AJ76" s="673"/>
      <c r="AK76" s="658">
        <f t="shared" si="16"/>
        <v>0</v>
      </c>
      <c r="AL76" s="635"/>
      <c r="AM76" s="653">
        <v>0</v>
      </c>
      <c r="AN76" s="653">
        <v>0</v>
      </c>
      <c r="AO76" s="653">
        <v>0</v>
      </c>
      <c r="AP76" s="650">
        <v>0.2036</v>
      </c>
      <c r="AQ76" s="652">
        <f t="shared" si="19"/>
        <v>0</v>
      </c>
      <c r="AR76" s="635"/>
      <c r="AS76" s="659">
        <f t="shared" si="20"/>
        <v>0</v>
      </c>
      <c r="AT76" s="643"/>
      <c r="AU76" s="567"/>
      <c r="AV76" s="567"/>
      <c r="AW76" s="567"/>
      <c r="AX76" s="567">
        <f t="shared" si="22"/>
        <v>0</v>
      </c>
      <c r="AY76" s="660"/>
      <c r="AZ76" s="631"/>
      <c r="BA76" s="490"/>
      <c r="BC76" s="631"/>
      <c r="BD76" s="631"/>
      <c r="BE76" s="480">
        <v>0</v>
      </c>
      <c r="BF76" s="570">
        <f t="shared" si="23"/>
        <v>0</v>
      </c>
    </row>
    <row r="77" spans="1:60" s="645" customFormat="1" ht="15" x14ac:dyDescent="0.25">
      <c r="A77" s="683" t="s">
        <v>768</v>
      </c>
      <c r="B77" s="683"/>
      <c r="C77" s="684" t="s">
        <v>769</v>
      </c>
      <c r="D77" s="635">
        <v>477987</v>
      </c>
      <c r="E77" s="663"/>
      <c r="F77" s="664"/>
      <c r="G77" s="551">
        <v>288</v>
      </c>
      <c r="H77" s="551">
        <v>336</v>
      </c>
      <c r="I77" s="551">
        <v>360</v>
      </c>
      <c r="J77" s="649">
        <f t="shared" si="21"/>
        <v>984</v>
      </c>
      <c r="K77" s="668"/>
      <c r="L77" s="669">
        <f t="shared" si="14"/>
        <v>984</v>
      </c>
      <c r="M77" s="682" t="s">
        <v>266</v>
      </c>
      <c r="N77" s="553">
        <v>3.6804985850845933</v>
      </c>
      <c r="O77" s="670">
        <f t="shared" si="15"/>
        <v>3622</v>
      </c>
      <c r="P77" s="640"/>
      <c r="Q77" s="653">
        <v>0</v>
      </c>
      <c r="R77" s="653">
        <v>882</v>
      </c>
      <c r="S77" s="653">
        <v>0</v>
      </c>
      <c r="T77" s="650">
        <v>0.2036</v>
      </c>
      <c r="U77" s="652">
        <f t="shared" si="17"/>
        <v>179.5752</v>
      </c>
      <c r="V77" s="640"/>
      <c r="W77" s="653">
        <v>0</v>
      </c>
      <c r="X77" s="653">
        <v>0</v>
      </c>
      <c r="Y77" s="653">
        <v>0</v>
      </c>
      <c r="Z77" s="650">
        <v>1.7611399999999999</v>
      </c>
      <c r="AA77" s="654">
        <f t="shared" si="18"/>
        <v>0</v>
      </c>
      <c r="AB77" s="635"/>
      <c r="AC77" s="671"/>
      <c r="AD77" s="642"/>
      <c r="AE77" s="671"/>
      <c r="AF77" s="642"/>
      <c r="AG77" s="671"/>
      <c r="AH77" s="635"/>
      <c r="AI77" s="672"/>
      <c r="AJ77" s="673"/>
      <c r="AK77" s="658">
        <f t="shared" si="16"/>
        <v>0</v>
      </c>
      <c r="AL77" s="635"/>
      <c r="AM77" s="653">
        <v>0</v>
      </c>
      <c r="AN77" s="653">
        <v>0</v>
      </c>
      <c r="AO77" s="653">
        <v>0</v>
      </c>
      <c r="AP77" s="650">
        <v>0.2036</v>
      </c>
      <c r="AQ77" s="652">
        <f t="shared" si="19"/>
        <v>0</v>
      </c>
      <c r="AR77" s="635"/>
      <c r="AS77" s="659">
        <f t="shared" si="20"/>
        <v>3801.5752000000002</v>
      </c>
      <c r="AT77" s="643"/>
      <c r="AU77" s="567"/>
      <c r="AV77" s="567"/>
      <c r="AW77" s="567"/>
      <c r="AX77" s="567">
        <f t="shared" si="22"/>
        <v>3801.5752000000002</v>
      </c>
      <c r="AY77" s="660"/>
      <c r="AZ77" s="631"/>
      <c r="BA77" s="490"/>
      <c r="BC77" s="631"/>
      <c r="BD77" s="631"/>
      <c r="BE77" s="480">
        <v>179.5752</v>
      </c>
      <c r="BF77" s="570">
        <f t="shared" si="23"/>
        <v>0</v>
      </c>
    </row>
    <row r="78" spans="1:60" s="645" customFormat="1" ht="15" x14ac:dyDescent="0.25">
      <c r="A78" s="102" t="s">
        <v>281</v>
      </c>
      <c r="B78" s="100"/>
      <c r="C78" s="100" t="s">
        <v>282</v>
      </c>
      <c r="D78" s="635">
        <v>471750</v>
      </c>
      <c r="E78" s="663"/>
      <c r="F78" s="664"/>
      <c r="G78" s="551">
        <v>1080</v>
      </c>
      <c r="H78" s="551">
        <v>1260</v>
      </c>
      <c r="I78" s="551">
        <v>1080</v>
      </c>
      <c r="J78" s="649">
        <f t="shared" si="21"/>
        <v>3420</v>
      </c>
      <c r="K78" s="668"/>
      <c r="L78" s="669">
        <f t="shared" si="14"/>
        <v>3420</v>
      </c>
      <c r="M78" s="682" t="s">
        <v>251</v>
      </c>
      <c r="N78" s="553">
        <v>3.6804985850845933</v>
      </c>
      <c r="O78" s="670">
        <f t="shared" si="15"/>
        <v>12587</v>
      </c>
      <c r="P78" s="640"/>
      <c r="Q78" s="653">
        <v>540</v>
      </c>
      <c r="R78" s="653">
        <v>3360</v>
      </c>
      <c r="S78" s="653">
        <v>1932.6315789473683</v>
      </c>
      <c r="T78" s="650">
        <v>0.2036</v>
      </c>
      <c r="U78" s="652">
        <f t="shared" si="17"/>
        <v>1187.5237894736842</v>
      </c>
      <c r="V78" s="640"/>
      <c r="W78" s="653">
        <v>0</v>
      </c>
      <c r="X78" s="653">
        <v>0</v>
      </c>
      <c r="Y78" s="653">
        <v>0</v>
      </c>
      <c r="Z78" s="650">
        <v>1.7611399999999999</v>
      </c>
      <c r="AA78" s="654">
        <f t="shared" si="18"/>
        <v>0</v>
      </c>
      <c r="AB78" s="635"/>
      <c r="AC78" s="671"/>
      <c r="AD78" s="642"/>
      <c r="AE78" s="671"/>
      <c r="AF78" s="642"/>
      <c r="AG78" s="671"/>
      <c r="AH78" s="635"/>
      <c r="AI78" s="672"/>
      <c r="AJ78" s="673"/>
      <c r="AK78" s="658">
        <f t="shared" si="16"/>
        <v>0</v>
      </c>
      <c r="AL78" s="635"/>
      <c r="AM78" s="653">
        <v>180</v>
      </c>
      <c r="AN78" s="653">
        <v>420</v>
      </c>
      <c r="AO78" s="653">
        <v>180</v>
      </c>
      <c r="AP78" s="650">
        <v>0.2036</v>
      </c>
      <c r="AQ78" s="652">
        <f t="shared" si="19"/>
        <v>158.80799999999999</v>
      </c>
      <c r="AR78" s="635"/>
      <c r="AS78" s="659">
        <f>SUM(AQ78,AK78,AA78,U78,O78,AC78,AE78,AG78)</f>
        <v>13933.331789473685</v>
      </c>
      <c r="AT78" s="643"/>
      <c r="AU78" s="567"/>
      <c r="AV78" s="567"/>
      <c r="AW78" s="567"/>
      <c r="AX78" s="567">
        <f t="shared" si="22"/>
        <v>13933.331789473685</v>
      </c>
      <c r="AY78" s="660"/>
      <c r="AZ78" s="631"/>
      <c r="BA78" s="490"/>
      <c r="BC78" s="631"/>
      <c r="BD78" s="631"/>
      <c r="BE78" s="480">
        <v>1187.5237894736842</v>
      </c>
      <c r="BF78" s="570">
        <f t="shared" si="23"/>
        <v>0</v>
      </c>
    </row>
    <row r="79" spans="1:60" s="645" customFormat="1" ht="15" x14ac:dyDescent="0.25">
      <c r="A79" s="685" t="s">
        <v>1401</v>
      </c>
      <c r="B79" s="686"/>
      <c r="C79" s="687" t="s">
        <v>771</v>
      </c>
      <c r="D79" s="635">
        <v>432228</v>
      </c>
      <c r="E79" s="663"/>
      <c r="F79" s="664"/>
      <c r="G79" s="551">
        <v>0</v>
      </c>
      <c r="H79" s="551">
        <v>0</v>
      </c>
      <c r="I79" s="551">
        <v>0</v>
      </c>
      <c r="J79" s="649">
        <f t="shared" si="21"/>
        <v>0</v>
      </c>
      <c r="K79" s="668"/>
      <c r="L79" s="669">
        <f t="shared" si="14"/>
        <v>0</v>
      </c>
      <c r="M79" s="668" t="s">
        <v>266</v>
      </c>
      <c r="N79" s="553">
        <v>3.6804985850845933</v>
      </c>
      <c r="O79" s="670">
        <f t="shared" si="15"/>
        <v>0</v>
      </c>
      <c r="P79" s="640"/>
      <c r="Q79" s="653">
        <v>0</v>
      </c>
      <c r="R79" s="653">
        <v>0</v>
      </c>
      <c r="S79" s="653">
        <v>0</v>
      </c>
      <c r="T79" s="650">
        <v>0.2036</v>
      </c>
      <c r="U79" s="652">
        <f t="shared" si="17"/>
        <v>0</v>
      </c>
      <c r="V79" s="640"/>
      <c r="W79" s="653">
        <v>0</v>
      </c>
      <c r="X79" s="653">
        <v>0</v>
      </c>
      <c r="Y79" s="653">
        <v>0</v>
      </c>
      <c r="Z79" s="650">
        <v>1.7611399999999999</v>
      </c>
      <c r="AA79" s="654">
        <f t="shared" si="18"/>
        <v>0</v>
      </c>
      <c r="AB79" s="635"/>
      <c r="AC79" s="671"/>
      <c r="AD79" s="642"/>
      <c r="AE79" s="671"/>
      <c r="AF79" s="642"/>
      <c r="AG79" s="671"/>
      <c r="AH79" s="635"/>
      <c r="AI79" s="672"/>
      <c r="AJ79" s="673"/>
      <c r="AK79" s="658">
        <f t="shared" si="16"/>
        <v>0</v>
      </c>
      <c r="AL79" s="635"/>
      <c r="AM79" s="653">
        <v>0</v>
      </c>
      <c r="AN79" s="653">
        <v>0</v>
      </c>
      <c r="AO79" s="653">
        <v>0</v>
      </c>
      <c r="AP79" s="650">
        <v>0.2036</v>
      </c>
      <c r="AQ79" s="652">
        <f t="shared" si="19"/>
        <v>0</v>
      </c>
      <c r="AR79" s="635"/>
      <c r="AS79" s="659">
        <f>SUM(AQ79,AK79,AA79,U79,O79,AC79,AE79,AG79)</f>
        <v>0</v>
      </c>
      <c r="AT79" s="643"/>
      <c r="AU79" s="567"/>
      <c r="AV79" s="567"/>
      <c r="AW79" s="567"/>
      <c r="AX79" s="567">
        <f t="shared" si="22"/>
        <v>0</v>
      </c>
      <c r="AY79" s="660"/>
      <c r="AZ79" s="631"/>
      <c r="BA79" s="490"/>
      <c r="BC79" s="631"/>
      <c r="BD79" s="631"/>
      <c r="BE79" s="480">
        <v>0</v>
      </c>
      <c r="BF79" s="570">
        <f t="shared" si="23"/>
        <v>0</v>
      </c>
      <c r="BH79" s="685" t="s">
        <v>770</v>
      </c>
    </row>
    <row r="80" spans="1:60" s="645" customFormat="1" ht="15" x14ac:dyDescent="0.25">
      <c r="A80" s="685" t="s">
        <v>537</v>
      </c>
      <c r="B80" s="686"/>
      <c r="C80" s="688" t="s">
        <v>283</v>
      </c>
      <c r="D80" s="635">
        <v>260966</v>
      </c>
      <c r="E80" s="663"/>
      <c r="F80" s="664"/>
      <c r="G80" s="551">
        <v>0</v>
      </c>
      <c r="H80" s="551">
        <v>0</v>
      </c>
      <c r="I80" s="551">
        <v>0</v>
      </c>
      <c r="J80" s="649">
        <f t="shared" si="21"/>
        <v>0</v>
      </c>
      <c r="K80" s="668"/>
      <c r="L80" s="669">
        <f t="shared" si="14"/>
        <v>0</v>
      </c>
      <c r="M80" s="668" t="s">
        <v>266</v>
      </c>
      <c r="N80" s="553">
        <v>3.6804985850845933</v>
      </c>
      <c r="O80" s="670">
        <f t="shared" si="15"/>
        <v>0</v>
      </c>
      <c r="P80" s="640"/>
      <c r="Q80" s="653">
        <v>0</v>
      </c>
      <c r="R80" s="653">
        <v>0</v>
      </c>
      <c r="S80" s="653">
        <v>0</v>
      </c>
      <c r="T80" s="650">
        <v>0.2036</v>
      </c>
      <c r="U80" s="652">
        <f t="shared" si="17"/>
        <v>0</v>
      </c>
      <c r="V80" s="640"/>
      <c r="W80" s="653">
        <v>0</v>
      </c>
      <c r="X80" s="653">
        <v>0</v>
      </c>
      <c r="Y80" s="653">
        <v>0</v>
      </c>
      <c r="Z80" s="650">
        <v>1.7611399999999999</v>
      </c>
      <c r="AA80" s="654">
        <f t="shared" si="18"/>
        <v>0</v>
      </c>
      <c r="AB80" s="635"/>
      <c r="AC80" s="671"/>
      <c r="AD80" s="642"/>
      <c r="AE80" s="671"/>
      <c r="AF80" s="642"/>
      <c r="AG80" s="671"/>
      <c r="AH80" s="635"/>
      <c r="AI80" s="672"/>
      <c r="AJ80" s="673"/>
      <c r="AK80" s="658">
        <f t="shared" si="16"/>
        <v>0</v>
      </c>
      <c r="AL80" s="635"/>
      <c r="AM80" s="653">
        <v>0</v>
      </c>
      <c r="AN80" s="653">
        <v>0</v>
      </c>
      <c r="AO80" s="653">
        <v>0</v>
      </c>
      <c r="AP80" s="650">
        <v>0.2036</v>
      </c>
      <c r="AQ80" s="652">
        <f t="shared" si="19"/>
        <v>0</v>
      </c>
      <c r="AR80" s="635"/>
      <c r="AS80" s="659">
        <f t="shared" ref="AS80" si="24">SUM(AQ80,AK80,AA80,U80,O80,AC80,AE80,AG80)</f>
        <v>0</v>
      </c>
      <c r="AT80" s="643"/>
      <c r="AU80" s="567"/>
      <c r="AV80" s="567"/>
      <c r="AW80" s="567"/>
      <c r="AX80" s="567">
        <f t="shared" si="22"/>
        <v>0</v>
      </c>
      <c r="AY80" s="660"/>
      <c r="AZ80" s="631"/>
      <c r="BA80" s="490"/>
      <c r="BC80" s="631"/>
      <c r="BD80" s="631"/>
      <c r="BE80" s="480">
        <v>0</v>
      </c>
      <c r="BF80" s="570">
        <f t="shared" si="23"/>
        <v>0</v>
      </c>
      <c r="BH80" s="685" t="s">
        <v>772</v>
      </c>
    </row>
    <row r="81" spans="1:60" s="645" customFormat="1" ht="15" x14ac:dyDescent="0.25">
      <c r="A81" s="685" t="s">
        <v>538</v>
      </c>
      <c r="B81" s="688"/>
      <c r="C81" s="688">
        <v>205999</v>
      </c>
      <c r="D81" s="635">
        <v>205999</v>
      </c>
      <c r="E81" s="663"/>
      <c r="F81" s="664"/>
      <c r="G81" s="551">
        <v>540</v>
      </c>
      <c r="H81" s="551">
        <v>630</v>
      </c>
      <c r="I81" s="551">
        <v>540</v>
      </c>
      <c r="J81" s="649">
        <f t="shared" si="21"/>
        <v>1710</v>
      </c>
      <c r="K81" s="668"/>
      <c r="L81" s="669">
        <f t="shared" si="14"/>
        <v>1710</v>
      </c>
      <c r="M81" s="668" t="s">
        <v>266</v>
      </c>
      <c r="N81" s="553">
        <v>3.6804985850845933</v>
      </c>
      <c r="O81" s="670">
        <f t="shared" si="15"/>
        <v>6294</v>
      </c>
      <c r="P81" s="640"/>
      <c r="Q81" s="653">
        <v>324</v>
      </c>
      <c r="R81" s="653">
        <v>126</v>
      </c>
      <c r="S81" s="653">
        <v>364.41473684210524</v>
      </c>
      <c r="T81" s="650">
        <v>0.2036</v>
      </c>
      <c r="U81" s="652">
        <f t="shared" si="17"/>
        <v>165.81484042105262</v>
      </c>
      <c r="V81" s="640"/>
      <c r="W81" s="653">
        <v>0</v>
      </c>
      <c r="X81" s="653">
        <v>0</v>
      </c>
      <c r="Y81" s="653">
        <v>0</v>
      </c>
      <c r="Z81" s="650">
        <v>1.7611399999999999</v>
      </c>
      <c r="AA81" s="654">
        <f t="shared" si="18"/>
        <v>0</v>
      </c>
      <c r="AB81" s="635"/>
      <c r="AC81" s="671"/>
      <c r="AD81" s="642"/>
      <c r="AE81" s="671"/>
      <c r="AF81" s="642"/>
      <c r="AG81" s="671"/>
      <c r="AH81" s="635"/>
      <c r="AI81" s="672"/>
      <c r="AJ81" s="673"/>
      <c r="AK81" s="658">
        <f t="shared" si="16"/>
        <v>0</v>
      </c>
      <c r="AL81" s="635"/>
      <c r="AM81" s="653">
        <v>0</v>
      </c>
      <c r="AN81" s="653">
        <v>0</v>
      </c>
      <c r="AO81" s="653">
        <v>0</v>
      </c>
      <c r="AP81" s="650">
        <v>0.2036</v>
      </c>
      <c r="AQ81" s="652">
        <f t="shared" si="19"/>
        <v>0</v>
      </c>
      <c r="AR81" s="635"/>
      <c r="AS81" s="659">
        <f>SUM(AQ81,AK81,AA81,U81,O81,AC81,AE81,AG81)</f>
        <v>6459.8148404210524</v>
      </c>
      <c r="AT81" s="643"/>
      <c r="AU81" s="567"/>
      <c r="AV81" s="567"/>
      <c r="AW81" s="567"/>
      <c r="AX81" s="567">
        <f t="shared" si="22"/>
        <v>6459.8148404210524</v>
      </c>
      <c r="AY81" s="660"/>
      <c r="AZ81" s="631"/>
      <c r="BA81" s="490"/>
      <c r="BC81" s="631"/>
      <c r="BD81" s="631"/>
      <c r="BE81" s="480">
        <v>165.81484042105262</v>
      </c>
      <c r="BF81" s="570">
        <f t="shared" si="23"/>
        <v>0</v>
      </c>
      <c r="BH81" s="685" t="s">
        <v>773</v>
      </c>
    </row>
    <row r="82" spans="1:60" s="645" customFormat="1" ht="15" x14ac:dyDescent="0.25">
      <c r="A82" s="685" t="s">
        <v>1372</v>
      </c>
      <c r="B82" s="689" t="s">
        <v>775</v>
      </c>
      <c r="C82" s="690" t="s">
        <v>776</v>
      </c>
      <c r="D82" s="635" t="s">
        <v>776</v>
      </c>
      <c r="E82" s="663"/>
      <c r="F82" s="664"/>
      <c r="G82" s="551">
        <v>0</v>
      </c>
      <c r="H82" s="551">
        <v>0</v>
      </c>
      <c r="I82" s="551">
        <v>0</v>
      </c>
      <c r="J82" s="649">
        <f t="shared" si="21"/>
        <v>0</v>
      </c>
      <c r="K82" s="668"/>
      <c r="L82" s="669">
        <f t="shared" si="14"/>
        <v>0</v>
      </c>
      <c r="M82" s="668" t="s">
        <v>266</v>
      </c>
      <c r="N82" s="553">
        <v>3.6804985850845933</v>
      </c>
      <c r="O82" s="670">
        <f t="shared" si="15"/>
        <v>0</v>
      </c>
      <c r="P82" s="640"/>
      <c r="Q82" s="653">
        <v>0</v>
      </c>
      <c r="R82" s="653">
        <v>0</v>
      </c>
      <c r="S82" s="653">
        <v>0</v>
      </c>
      <c r="T82" s="650">
        <v>0.2036</v>
      </c>
      <c r="U82" s="652">
        <f t="shared" si="17"/>
        <v>0</v>
      </c>
      <c r="V82" s="640"/>
      <c r="W82" s="653">
        <v>0</v>
      </c>
      <c r="X82" s="653">
        <v>0</v>
      </c>
      <c r="Y82" s="653">
        <v>0</v>
      </c>
      <c r="Z82" s="650">
        <v>1.7611399999999999</v>
      </c>
      <c r="AA82" s="654">
        <f t="shared" si="18"/>
        <v>0</v>
      </c>
      <c r="AB82" s="635"/>
      <c r="AC82" s="671"/>
      <c r="AD82" s="642"/>
      <c r="AE82" s="671"/>
      <c r="AF82" s="642"/>
      <c r="AG82" s="671"/>
      <c r="AH82" s="635"/>
      <c r="AI82" s="672"/>
      <c r="AJ82" s="673"/>
      <c r="AK82" s="658">
        <f t="shared" si="16"/>
        <v>0</v>
      </c>
      <c r="AL82" s="635"/>
      <c r="AM82" s="653">
        <v>0</v>
      </c>
      <c r="AN82" s="653">
        <v>0</v>
      </c>
      <c r="AO82" s="653">
        <v>0</v>
      </c>
      <c r="AP82" s="650">
        <v>0.2036</v>
      </c>
      <c r="AQ82" s="652">
        <f t="shared" si="19"/>
        <v>0</v>
      </c>
      <c r="AR82" s="635"/>
      <c r="AS82" s="659">
        <f t="shared" ref="AS82:AS83" si="25">SUM(AQ82,AK82,AA82,U82,O82,AC82,AE82,AG82)</f>
        <v>0</v>
      </c>
      <c r="AT82" s="643"/>
      <c r="AU82" s="567"/>
      <c r="AV82" s="567"/>
      <c r="AW82" s="567"/>
      <c r="AX82" s="567">
        <f t="shared" si="22"/>
        <v>0</v>
      </c>
      <c r="AY82" s="660"/>
      <c r="AZ82" s="631"/>
      <c r="BA82" s="490"/>
      <c r="BC82" s="631"/>
      <c r="BD82" s="631"/>
      <c r="BE82" s="480">
        <v>0</v>
      </c>
      <c r="BF82" s="570">
        <f t="shared" si="23"/>
        <v>0</v>
      </c>
      <c r="BH82" s="685" t="s">
        <v>774</v>
      </c>
    </row>
    <row r="83" spans="1:60" s="645" customFormat="1" ht="15" x14ac:dyDescent="0.25">
      <c r="A83" s="685" t="s">
        <v>539</v>
      </c>
      <c r="B83" s="688"/>
      <c r="C83" s="688">
        <v>205921</v>
      </c>
      <c r="D83" s="635">
        <v>205921</v>
      </c>
      <c r="E83" s="663"/>
      <c r="F83" s="664"/>
      <c r="G83" s="551">
        <v>108</v>
      </c>
      <c r="H83" s="551">
        <v>0</v>
      </c>
      <c r="I83" s="551">
        <v>0</v>
      </c>
      <c r="J83" s="649">
        <f t="shared" si="21"/>
        <v>108</v>
      </c>
      <c r="K83" s="668"/>
      <c r="L83" s="669">
        <f t="shared" si="14"/>
        <v>108</v>
      </c>
      <c r="M83" s="668" t="s">
        <v>266</v>
      </c>
      <c r="N83" s="553">
        <v>3.6804985850845933</v>
      </c>
      <c r="O83" s="670">
        <f t="shared" si="15"/>
        <v>397</v>
      </c>
      <c r="P83" s="640"/>
      <c r="Q83" s="653">
        <v>0</v>
      </c>
      <c r="R83" s="653">
        <v>0</v>
      </c>
      <c r="S83" s="653">
        <v>0</v>
      </c>
      <c r="T83" s="650">
        <v>0.2036</v>
      </c>
      <c r="U83" s="652">
        <f t="shared" si="17"/>
        <v>0</v>
      </c>
      <c r="V83" s="640"/>
      <c r="W83" s="653">
        <v>0</v>
      </c>
      <c r="X83" s="653">
        <v>0</v>
      </c>
      <c r="Y83" s="653">
        <v>0</v>
      </c>
      <c r="Z83" s="650">
        <v>1.7611399999999999</v>
      </c>
      <c r="AA83" s="654">
        <f t="shared" si="18"/>
        <v>0</v>
      </c>
      <c r="AB83" s="635"/>
      <c r="AC83" s="671"/>
      <c r="AD83" s="642"/>
      <c r="AE83" s="671"/>
      <c r="AF83" s="642"/>
      <c r="AG83" s="671"/>
      <c r="AH83" s="635"/>
      <c r="AI83" s="672"/>
      <c r="AJ83" s="673"/>
      <c r="AK83" s="658">
        <f t="shared" si="16"/>
        <v>0</v>
      </c>
      <c r="AL83" s="635"/>
      <c r="AM83" s="653">
        <v>0</v>
      </c>
      <c r="AN83" s="653">
        <v>0</v>
      </c>
      <c r="AO83" s="653">
        <v>0</v>
      </c>
      <c r="AP83" s="650">
        <v>0.2036</v>
      </c>
      <c r="AQ83" s="652">
        <f t="shared" si="19"/>
        <v>0</v>
      </c>
      <c r="AR83" s="635"/>
      <c r="AS83" s="659">
        <f t="shared" si="25"/>
        <v>397</v>
      </c>
      <c r="AT83" s="643"/>
      <c r="AU83" s="567"/>
      <c r="AV83" s="567"/>
      <c r="AW83" s="567"/>
      <c r="AX83" s="567">
        <f t="shared" si="22"/>
        <v>397</v>
      </c>
      <c r="AY83" s="660"/>
      <c r="AZ83" s="631"/>
      <c r="BA83" s="490"/>
      <c r="BC83" s="631"/>
      <c r="BD83" s="631"/>
      <c r="BE83" s="480">
        <v>0</v>
      </c>
      <c r="BF83" s="570">
        <f t="shared" si="23"/>
        <v>0</v>
      </c>
      <c r="BH83" s="685" t="s">
        <v>777</v>
      </c>
    </row>
    <row r="84" spans="1:60" s="645" customFormat="1" ht="15" x14ac:dyDescent="0.25">
      <c r="A84" s="685" t="s">
        <v>1373</v>
      </c>
      <c r="B84" s="689" t="s">
        <v>779</v>
      </c>
      <c r="C84" s="691">
        <v>206065</v>
      </c>
      <c r="D84" s="691">
        <v>206065</v>
      </c>
      <c r="E84" s="663"/>
      <c r="F84" s="664"/>
      <c r="G84" s="551">
        <v>0</v>
      </c>
      <c r="H84" s="551">
        <v>0</v>
      </c>
      <c r="I84" s="551">
        <v>360</v>
      </c>
      <c r="J84" s="649">
        <f t="shared" si="21"/>
        <v>360</v>
      </c>
      <c r="K84" s="668"/>
      <c r="L84" s="669">
        <f t="shared" si="14"/>
        <v>360</v>
      </c>
      <c r="M84" s="668" t="s">
        <v>266</v>
      </c>
      <c r="N84" s="553">
        <v>3.6804985850845933</v>
      </c>
      <c r="O84" s="670">
        <f t="shared" si="15"/>
        <v>1325</v>
      </c>
      <c r="P84" s="640"/>
      <c r="Q84" s="653">
        <v>0</v>
      </c>
      <c r="R84" s="653">
        <v>0</v>
      </c>
      <c r="S84" s="653">
        <v>0</v>
      </c>
      <c r="T84" s="650">
        <v>0.2036</v>
      </c>
      <c r="U84" s="652">
        <f t="shared" si="17"/>
        <v>0</v>
      </c>
      <c r="V84" s="640"/>
      <c r="W84" s="653">
        <v>0</v>
      </c>
      <c r="X84" s="653">
        <v>0</v>
      </c>
      <c r="Y84" s="653">
        <v>0</v>
      </c>
      <c r="Z84" s="650">
        <v>1.7611399999999999</v>
      </c>
      <c r="AA84" s="654">
        <f t="shared" si="18"/>
        <v>0</v>
      </c>
      <c r="AB84" s="635"/>
      <c r="AC84" s="671"/>
      <c r="AD84" s="642"/>
      <c r="AE84" s="671"/>
      <c r="AF84" s="642"/>
      <c r="AG84" s="671"/>
      <c r="AH84" s="635"/>
      <c r="AI84" s="672"/>
      <c r="AJ84" s="673"/>
      <c r="AK84" s="658">
        <f t="shared" si="16"/>
        <v>0</v>
      </c>
      <c r="AL84" s="635"/>
      <c r="AM84" s="653">
        <v>0</v>
      </c>
      <c r="AN84" s="653">
        <v>0</v>
      </c>
      <c r="AO84" s="653">
        <v>0</v>
      </c>
      <c r="AP84" s="650">
        <v>0.2036</v>
      </c>
      <c r="AQ84" s="652">
        <f t="shared" si="19"/>
        <v>0</v>
      </c>
      <c r="AR84" s="635"/>
      <c r="AS84" s="659">
        <f>SUM(AQ84,AK84,AA84,U84,O84,AC84,AE84,AG84)</f>
        <v>1325</v>
      </c>
      <c r="AT84" s="643"/>
      <c r="AU84" s="567"/>
      <c r="AV84" s="567"/>
      <c r="AW84" s="567"/>
      <c r="AX84" s="567">
        <f t="shared" si="22"/>
        <v>1325</v>
      </c>
      <c r="AY84" s="660"/>
      <c r="AZ84" s="631"/>
      <c r="BA84" s="490"/>
      <c r="BC84" s="631"/>
      <c r="BD84" s="631"/>
      <c r="BE84" s="480">
        <v>0</v>
      </c>
      <c r="BF84" s="570">
        <f t="shared" si="23"/>
        <v>0</v>
      </c>
      <c r="BH84" s="685" t="s">
        <v>778</v>
      </c>
    </row>
    <row r="85" spans="1:60" s="645" customFormat="1" ht="15" x14ac:dyDescent="0.25">
      <c r="A85" s="685" t="s">
        <v>1374</v>
      </c>
      <c r="B85" s="689"/>
      <c r="C85" s="690" t="s">
        <v>781</v>
      </c>
      <c r="D85" s="635">
        <v>463636</v>
      </c>
      <c r="E85" s="663"/>
      <c r="F85" s="664"/>
      <c r="G85" s="551">
        <v>0</v>
      </c>
      <c r="H85" s="551">
        <v>0</v>
      </c>
      <c r="I85" s="551">
        <v>0</v>
      </c>
      <c r="J85" s="649">
        <f t="shared" si="21"/>
        <v>0</v>
      </c>
      <c r="K85" s="668"/>
      <c r="L85" s="669">
        <f t="shared" si="14"/>
        <v>0</v>
      </c>
      <c r="M85" s="668" t="s">
        <v>782</v>
      </c>
      <c r="N85" s="553">
        <v>3.6804985850845933</v>
      </c>
      <c r="O85" s="670">
        <f t="shared" si="15"/>
        <v>0</v>
      </c>
      <c r="P85" s="640"/>
      <c r="Q85" s="653">
        <v>0</v>
      </c>
      <c r="R85" s="653">
        <v>0</v>
      </c>
      <c r="S85" s="653">
        <v>0</v>
      </c>
      <c r="T85" s="650">
        <v>0.2036</v>
      </c>
      <c r="U85" s="652">
        <f t="shared" si="17"/>
        <v>0</v>
      </c>
      <c r="V85" s="640"/>
      <c r="W85" s="653">
        <v>0</v>
      </c>
      <c r="X85" s="653">
        <v>0</v>
      </c>
      <c r="Y85" s="653">
        <v>0</v>
      </c>
      <c r="Z85" s="650">
        <v>1.7611399999999999</v>
      </c>
      <c r="AA85" s="654">
        <f t="shared" si="18"/>
        <v>0</v>
      </c>
      <c r="AB85" s="635"/>
      <c r="AC85" s="671"/>
      <c r="AD85" s="642"/>
      <c r="AE85" s="671"/>
      <c r="AF85" s="642"/>
      <c r="AG85" s="671"/>
      <c r="AH85" s="635"/>
      <c r="AI85" s="672"/>
      <c r="AJ85" s="673"/>
      <c r="AK85" s="658">
        <f t="shared" si="16"/>
        <v>0</v>
      </c>
      <c r="AL85" s="635"/>
      <c r="AM85" s="653">
        <v>0</v>
      </c>
      <c r="AN85" s="653">
        <v>0</v>
      </c>
      <c r="AO85" s="653">
        <v>0</v>
      </c>
      <c r="AP85" s="650">
        <v>0.2036</v>
      </c>
      <c r="AQ85" s="652">
        <f t="shared" si="19"/>
        <v>0</v>
      </c>
      <c r="AR85" s="635"/>
      <c r="AS85" s="659">
        <f>SUM(AQ85,AK85,AA85,U85,O85,AC85,AE85,AG85)</f>
        <v>0</v>
      </c>
      <c r="AT85" s="643"/>
      <c r="AU85" s="567"/>
      <c r="AV85" s="567"/>
      <c r="AW85" s="567"/>
      <c r="AX85" s="567">
        <f t="shared" si="22"/>
        <v>0</v>
      </c>
      <c r="AY85" s="660"/>
      <c r="AZ85" s="631"/>
      <c r="BA85" s="490"/>
      <c r="BC85" s="631"/>
      <c r="BD85" s="631"/>
      <c r="BE85" s="480">
        <v>0</v>
      </c>
      <c r="BF85" s="570">
        <f t="shared" si="23"/>
        <v>0</v>
      </c>
      <c r="BH85" s="685" t="s">
        <v>780</v>
      </c>
    </row>
    <row r="86" spans="1:60" s="645" customFormat="1" ht="15" x14ac:dyDescent="0.25">
      <c r="A86" s="692" t="s">
        <v>587</v>
      </c>
      <c r="B86" s="688"/>
      <c r="C86" s="690" t="s">
        <v>784</v>
      </c>
      <c r="D86" s="635">
        <v>421552</v>
      </c>
      <c r="E86" s="663"/>
      <c r="F86" s="664"/>
      <c r="G86" s="551">
        <v>0</v>
      </c>
      <c r="H86" s="551">
        <v>0</v>
      </c>
      <c r="I86" s="551">
        <v>0</v>
      </c>
      <c r="J86" s="649">
        <f t="shared" si="21"/>
        <v>0</v>
      </c>
      <c r="K86" s="668"/>
      <c r="L86" s="669">
        <f t="shared" si="14"/>
        <v>0</v>
      </c>
      <c r="M86" s="668" t="s">
        <v>266</v>
      </c>
      <c r="N86" s="553">
        <v>3.6804985850845933</v>
      </c>
      <c r="O86" s="670">
        <f t="shared" si="15"/>
        <v>0</v>
      </c>
      <c r="P86" s="640"/>
      <c r="Q86" s="653">
        <v>108</v>
      </c>
      <c r="R86" s="653">
        <v>0</v>
      </c>
      <c r="S86" s="653">
        <v>0</v>
      </c>
      <c r="T86" s="650">
        <v>0.2036</v>
      </c>
      <c r="U86" s="652">
        <f t="shared" si="17"/>
        <v>21.988800000000001</v>
      </c>
      <c r="V86" s="640"/>
      <c r="W86" s="653">
        <v>0</v>
      </c>
      <c r="X86" s="653">
        <v>0</v>
      </c>
      <c r="Y86" s="653">
        <v>0</v>
      </c>
      <c r="Z86" s="650">
        <v>1.7611399999999999</v>
      </c>
      <c r="AA86" s="654">
        <f t="shared" si="18"/>
        <v>0</v>
      </c>
      <c r="AB86" s="635"/>
      <c r="AC86" s="671"/>
      <c r="AD86" s="642"/>
      <c r="AE86" s="671"/>
      <c r="AF86" s="642"/>
      <c r="AG86" s="671"/>
      <c r="AH86" s="635"/>
      <c r="AI86" s="672"/>
      <c r="AJ86" s="673"/>
      <c r="AK86" s="658">
        <f t="shared" si="16"/>
        <v>0</v>
      </c>
      <c r="AL86" s="635"/>
      <c r="AM86" s="653">
        <v>0</v>
      </c>
      <c r="AN86" s="653">
        <v>0</v>
      </c>
      <c r="AO86" s="653">
        <v>0</v>
      </c>
      <c r="AP86" s="650">
        <v>0.2036</v>
      </c>
      <c r="AQ86" s="652">
        <f t="shared" si="19"/>
        <v>0</v>
      </c>
      <c r="AR86" s="635"/>
      <c r="AS86" s="659">
        <f t="shared" ref="AS86:AS95" si="26">SUM(AQ86,AK86,AA86,U86,O86,AC86,AE86,AG86)</f>
        <v>21.988800000000001</v>
      </c>
      <c r="AT86" s="643"/>
      <c r="AU86" s="567"/>
      <c r="AV86" s="567"/>
      <c r="AW86" s="567"/>
      <c r="AX86" s="567">
        <f t="shared" si="22"/>
        <v>21.988800000000001</v>
      </c>
      <c r="AY86" s="660"/>
      <c r="AZ86" s="631"/>
      <c r="BA86" s="490"/>
      <c r="BC86" s="631"/>
      <c r="BD86" s="631"/>
      <c r="BE86" s="480">
        <v>21.988800000000001</v>
      </c>
      <c r="BF86" s="570">
        <f t="shared" si="23"/>
        <v>0</v>
      </c>
      <c r="BH86" s="692" t="s">
        <v>783</v>
      </c>
    </row>
    <row r="87" spans="1:60" s="645" customFormat="1" ht="15" x14ac:dyDescent="0.25">
      <c r="A87" s="693" t="s">
        <v>1423</v>
      </c>
      <c r="B87" s="694"/>
      <c r="C87" s="694" t="s">
        <v>288</v>
      </c>
      <c r="D87" s="635">
        <v>251518</v>
      </c>
      <c r="E87" s="663"/>
      <c r="F87" s="664"/>
      <c r="G87" s="551">
        <v>720</v>
      </c>
      <c r="H87" s="551">
        <v>420</v>
      </c>
      <c r="I87" s="551">
        <v>360</v>
      </c>
      <c r="J87" s="649">
        <f t="shared" si="21"/>
        <v>1500</v>
      </c>
      <c r="K87" s="668"/>
      <c r="L87" s="669">
        <f t="shared" si="14"/>
        <v>1500</v>
      </c>
      <c r="M87" s="668" t="s">
        <v>266</v>
      </c>
      <c r="N87" s="553">
        <v>3.6804985850845933</v>
      </c>
      <c r="O87" s="670">
        <f t="shared" si="15"/>
        <v>5521</v>
      </c>
      <c r="P87" s="640"/>
      <c r="Q87" s="653">
        <v>180</v>
      </c>
      <c r="R87" s="653">
        <v>210</v>
      </c>
      <c r="S87" s="653">
        <v>180</v>
      </c>
      <c r="T87" s="650">
        <v>0.2036</v>
      </c>
      <c r="U87" s="652">
        <f t="shared" si="17"/>
        <v>116.05200000000001</v>
      </c>
      <c r="V87" s="640"/>
      <c r="W87" s="653">
        <v>0</v>
      </c>
      <c r="X87" s="653">
        <v>0</v>
      </c>
      <c r="Y87" s="653">
        <v>0</v>
      </c>
      <c r="Z87" s="650">
        <v>1.7611399999999999</v>
      </c>
      <c r="AA87" s="654">
        <f t="shared" si="18"/>
        <v>0</v>
      </c>
      <c r="AB87" s="635"/>
      <c r="AC87" s="671"/>
      <c r="AD87" s="642"/>
      <c r="AE87" s="671"/>
      <c r="AF87" s="642"/>
      <c r="AG87" s="671"/>
      <c r="AH87" s="635"/>
      <c r="AI87" s="672"/>
      <c r="AJ87" s="673"/>
      <c r="AK87" s="658">
        <f t="shared" si="16"/>
        <v>0</v>
      </c>
      <c r="AL87" s="635"/>
      <c r="AM87" s="653">
        <v>0</v>
      </c>
      <c r="AN87" s="653">
        <v>0</v>
      </c>
      <c r="AO87" s="653">
        <v>0</v>
      </c>
      <c r="AP87" s="650">
        <v>0.2036</v>
      </c>
      <c r="AQ87" s="652">
        <f t="shared" si="19"/>
        <v>0</v>
      </c>
      <c r="AR87" s="635"/>
      <c r="AS87" s="659">
        <f t="shared" si="26"/>
        <v>5637.0519999999997</v>
      </c>
      <c r="AT87" s="643"/>
      <c r="AU87" s="567"/>
      <c r="AV87" s="567"/>
      <c r="AW87" s="567"/>
      <c r="AX87" s="567">
        <f t="shared" si="22"/>
        <v>5637.0519999999997</v>
      </c>
      <c r="AY87" s="660"/>
      <c r="AZ87" s="631"/>
      <c r="BA87" s="490"/>
      <c r="BE87" s="480">
        <v>116.05200000000001</v>
      </c>
      <c r="BF87" s="570">
        <f t="shared" si="23"/>
        <v>0</v>
      </c>
      <c r="BH87" s="693" t="s">
        <v>785</v>
      </c>
    </row>
    <row r="88" spans="1:60" s="645" customFormat="1" ht="15" x14ac:dyDescent="0.25">
      <c r="A88" s="489" t="s">
        <v>1375</v>
      </c>
      <c r="B88" s="489"/>
      <c r="C88" s="690" t="s">
        <v>787</v>
      </c>
      <c r="D88" s="635">
        <v>412756</v>
      </c>
      <c r="E88" s="663"/>
      <c r="F88" s="664"/>
      <c r="G88" s="551">
        <v>540</v>
      </c>
      <c r="H88" s="551">
        <v>210</v>
      </c>
      <c r="I88" s="551">
        <v>540</v>
      </c>
      <c r="J88" s="649">
        <f t="shared" si="21"/>
        <v>1290</v>
      </c>
      <c r="K88" s="668"/>
      <c r="L88" s="669">
        <f t="shared" si="14"/>
        <v>1290</v>
      </c>
      <c r="M88" s="668" t="s">
        <v>266</v>
      </c>
      <c r="N88" s="553">
        <v>3.6804985850845933</v>
      </c>
      <c r="O88" s="670">
        <f t="shared" si="15"/>
        <v>4748</v>
      </c>
      <c r="P88" s="640"/>
      <c r="Q88" s="653">
        <v>180</v>
      </c>
      <c r="R88" s="653">
        <v>0</v>
      </c>
      <c r="S88" s="653">
        <v>0</v>
      </c>
      <c r="T88" s="650">
        <v>0.2036</v>
      </c>
      <c r="U88" s="652">
        <f t="shared" si="17"/>
        <v>36.648000000000003</v>
      </c>
      <c r="V88" s="640"/>
      <c r="W88" s="653">
        <v>0</v>
      </c>
      <c r="X88" s="653">
        <v>0</v>
      </c>
      <c r="Y88" s="653">
        <v>0</v>
      </c>
      <c r="Z88" s="650">
        <v>1.7611399999999999</v>
      </c>
      <c r="AA88" s="654">
        <f t="shared" si="18"/>
        <v>0</v>
      </c>
      <c r="AB88" s="635"/>
      <c r="AC88" s="671"/>
      <c r="AD88" s="642"/>
      <c r="AE88" s="671"/>
      <c r="AF88" s="642"/>
      <c r="AG88" s="671"/>
      <c r="AH88" s="635"/>
      <c r="AI88" s="672"/>
      <c r="AJ88" s="673"/>
      <c r="AK88" s="658">
        <f t="shared" si="16"/>
        <v>0</v>
      </c>
      <c r="AL88" s="635"/>
      <c r="AM88" s="653">
        <v>0</v>
      </c>
      <c r="AN88" s="653">
        <v>0</v>
      </c>
      <c r="AO88" s="653">
        <v>0</v>
      </c>
      <c r="AP88" s="650">
        <v>0.2036</v>
      </c>
      <c r="AQ88" s="652">
        <f t="shared" si="19"/>
        <v>0</v>
      </c>
      <c r="AR88" s="635"/>
      <c r="AS88" s="659">
        <f t="shared" si="26"/>
        <v>4784.6480000000001</v>
      </c>
      <c r="AT88" s="643"/>
      <c r="AU88" s="567"/>
      <c r="AV88" s="567"/>
      <c r="AW88" s="567"/>
      <c r="AX88" s="567">
        <f t="shared" si="22"/>
        <v>4784.6480000000001</v>
      </c>
      <c r="AY88" s="660"/>
      <c r="AZ88" s="631"/>
      <c r="BA88" s="490"/>
      <c r="BC88" s="631"/>
      <c r="BD88" s="631"/>
      <c r="BE88" s="480">
        <v>36.648000000000003</v>
      </c>
      <c r="BF88" s="570">
        <f t="shared" si="23"/>
        <v>0</v>
      </c>
      <c r="BH88" s="489" t="s">
        <v>786</v>
      </c>
    </row>
    <row r="89" spans="1:60" s="645" customFormat="1" ht="15" x14ac:dyDescent="0.25">
      <c r="A89" s="695" t="s">
        <v>588</v>
      </c>
      <c r="B89" s="694"/>
      <c r="C89" s="694" t="s">
        <v>286</v>
      </c>
      <c r="D89" s="635" t="s">
        <v>286</v>
      </c>
      <c r="E89" s="663"/>
      <c r="F89" s="664"/>
      <c r="G89" s="551">
        <v>0</v>
      </c>
      <c r="H89" s="551">
        <v>0</v>
      </c>
      <c r="I89" s="551">
        <v>0</v>
      </c>
      <c r="J89" s="649">
        <f t="shared" si="21"/>
        <v>0</v>
      </c>
      <c r="K89" s="668"/>
      <c r="L89" s="669">
        <f t="shared" si="14"/>
        <v>0</v>
      </c>
      <c r="M89" s="668" t="s">
        <v>266</v>
      </c>
      <c r="N89" s="553">
        <v>3.6804985850845933</v>
      </c>
      <c r="O89" s="670">
        <f t="shared" si="15"/>
        <v>0</v>
      </c>
      <c r="P89" s="640"/>
      <c r="Q89" s="653">
        <v>0</v>
      </c>
      <c r="R89" s="653">
        <v>0</v>
      </c>
      <c r="S89" s="653">
        <v>0</v>
      </c>
      <c r="T89" s="650">
        <v>0.2036</v>
      </c>
      <c r="U89" s="652">
        <f t="shared" si="17"/>
        <v>0</v>
      </c>
      <c r="V89" s="640"/>
      <c r="W89" s="653">
        <v>0</v>
      </c>
      <c r="X89" s="653">
        <v>0</v>
      </c>
      <c r="Y89" s="653">
        <v>0</v>
      </c>
      <c r="Z89" s="650">
        <v>1.7611399999999999</v>
      </c>
      <c r="AA89" s="654">
        <f t="shared" si="18"/>
        <v>0</v>
      </c>
      <c r="AB89" s="635"/>
      <c r="AC89" s="671"/>
      <c r="AD89" s="642"/>
      <c r="AE89" s="671"/>
      <c r="AF89" s="642"/>
      <c r="AG89" s="671"/>
      <c r="AH89" s="635"/>
      <c r="AI89" s="672"/>
      <c r="AJ89" s="673"/>
      <c r="AK89" s="658">
        <f t="shared" si="16"/>
        <v>0</v>
      </c>
      <c r="AL89" s="635"/>
      <c r="AM89" s="653">
        <v>0</v>
      </c>
      <c r="AN89" s="653">
        <v>0</v>
      </c>
      <c r="AO89" s="653">
        <v>0</v>
      </c>
      <c r="AP89" s="650">
        <v>0.2036</v>
      </c>
      <c r="AQ89" s="652">
        <f t="shared" si="19"/>
        <v>0</v>
      </c>
      <c r="AR89" s="635"/>
      <c r="AS89" s="659">
        <f t="shared" si="26"/>
        <v>0</v>
      </c>
      <c r="AT89" s="643"/>
      <c r="AU89" s="567"/>
      <c r="AV89" s="567"/>
      <c r="AW89" s="567"/>
      <c r="AX89" s="567">
        <f t="shared" si="22"/>
        <v>0</v>
      </c>
      <c r="AY89" s="660"/>
      <c r="AZ89" s="631"/>
      <c r="BA89" s="490"/>
      <c r="BC89" s="631"/>
      <c r="BD89" s="631"/>
      <c r="BE89" s="480">
        <v>0</v>
      </c>
      <c r="BF89" s="570">
        <f t="shared" si="23"/>
        <v>0</v>
      </c>
      <c r="BH89" s="695" t="s">
        <v>588</v>
      </c>
    </row>
    <row r="90" spans="1:60" s="645" customFormat="1" ht="15" x14ac:dyDescent="0.25">
      <c r="A90" s="685" t="s">
        <v>541</v>
      </c>
      <c r="B90" s="686"/>
      <c r="C90" s="688" t="s">
        <v>287</v>
      </c>
      <c r="D90" s="635">
        <v>336463</v>
      </c>
      <c r="E90" s="663"/>
      <c r="F90" s="664"/>
      <c r="G90" s="551">
        <v>396</v>
      </c>
      <c r="H90" s="551">
        <v>0</v>
      </c>
      <c r="I90" s="551">
        <v>0</v>
      </c>
      <c r="J90" s="649">
        <f t="shared" si="21"/>
        <v>396</v>
      </c>
      <c r="K90" s="668"/>
      <c r="L90" s="669">
        <f t="shared" si="14"/>
        <v>396</v>
      </c>
      <c r="M90" s="668" t="s">
        <v>266</v>
      </c>
      <c r="N90" s="553">
        <v>3.6804985850845933</v>
      </c>
      <c r="O90" s="670">
        <f t="shared" si="15"/>
        <v>1457</v>
      </c>
      <c r="P90" s="640"/>
      <c r="Q90" s="653">
        <v>180</v>
      </c>
      <c r="R90" s="653">
        <v>42</v>
      </c>
      <c r="S90" s="653">
        <v>0</v>
      </c>
      <c r="T90" s="650">
        <v>0.2036</v>
      </c>
      <c r="U90" s="652">
        <f t="shared" si="17"/>
        <v>45.199199999999998</v>
      </c>
      <c r="V90" s="640"/>
      <c r="W90" s="653">
        <v>0</v>
      </c>
      <c r="X90" s="653">
        <v>0</v>
      </c>
      <c r="Y90" s="653">
        <v>0</v>
      </c>
      <c r="Z90" s="650">
        <v>1.7611399999999999</v>
      </c>
      <c r="AA90" s="654">
        <f t="shared" si="18"/>
        <v>0</v>
      </c>
      <c r="AB90" s="635"/>
      <c r="AC90" s="671"/>
      <c r="AD90" s="642"/>
      <c r="AE90" s="671"/>
      <c r="AF90" s="642"/>
      <c r="AG90" s="671"/>
      <c r="AH90" s="635"/>
      <c r="AI90" s="672"/>
      <c r="AJ90" s="673"/>
      <c r="AK90" s="658">
        <f t="shared" si="16"/>
        <v>0</v>
      </c>
      <c r="AL90" s="635"/>
      <c r="AM90" s="653">
        <v>0</v>
      </c>
      <c r="AN90" s="653">
        <v>0</v>
      </c>
      <c r="AO90" s="653">
        <v>0</v>
      </c>
      <c r="AP90" s="650">
        <v>0.2036</v>
      </c>
      <c r="AQ90" s="652">
        <f t="shared" si="19"/>
        <v>0</v>
      </c>
      <c r="AR90" s="635"/>
      <c r="AS90" s="659">
        <f t="shared" si="26"/>
        <v>1502.1992</v>
      </c>
      <c r="AT90" s="643"/>
      <c r="AU90" s="567"/>
      <c r="AV90" s="567"/>
      <c r="AW90" s="567"/>
      <c r="AX90" s="567">
        <f t="shared" si="22"/>
        <v>1502.1992</v>
      </c>
      <c r="AY90" s="660"/>
      <c r="AZ90" s="631"/>
      <c r="BA90" s="490"/>
      <c r="BE90" s="480">
        <v>45.199199999999998</v>
      </c>
      <c r="BF90" s="570">
        <f t="shared" si="23"/>
        <v>0</v>
      </c>
      <c r="BH90" s="685" t="s">
        <v>788</v>
      </c>
    </row>
    <row r="91" spans="1:60" s="645" customFormat="1" ht="15" x14ac:dyDescent="0.25">
      <c r="A91" s="685" t="s">
        <v>1376</v>
      </c>
      <c r="B91" s="100"/>
      <c r="C91" s="696">
        <v>205919</v>
      </c>
      <c r="D91" s="696">
        <v>205919</v>
      </c>
      <c r="E91" s="663"/>
      <c r="F91" s="664"/>
      <c r="G91" s="551">
        <v>0</v>
      </c>
      <c r="H91" s="551">
        <v>210</v>
      </c>
      <c r="I91" s="551">
        <v>180</v>
      </c>
      <c r="J91" s="649">
        <f t="shared" si="21"/>
        <v>390</v>
      </c>
      <c r="K91" s="668"/>
      <c r="L91" s="669">
        <f t="shared" si="14"/>
        <v>390</v>
      </c>
      <c r="M91" s="668" t="s">
        <v>266</v>
      </c>
      <c r="N91" s="553">
        <v>3.6804985850845933</v>
      </c>
      <c r="O91" s="670">
        <f t="shared" si="15"/>
        <v>1435</v>
      </c>
      <c r="P91" s="640"/>
      <c r="Q91" s="653">
        <v>0</v>
      </c>
      <c r="R91" s="653">
        <v>0</v>
      </c>
      <c r="S91" s="653">
        <v>0</v>
      </c>
      <c r="T91" s="650">
        <v>0.2036</v>
      </c>
      <c r="U91" s="652">
        <f t="shared" si="17"/>
        <v>0</v>
      </c>
      <c r="V91" s="640"/>
      <c r="W91" s="653">
        <v>0</v>
      </c>
      <c r="X91" s="653">
        <v>0</v>
      </c>
      <c r="Y91" s="653">
        <v>0</v>
      </c>
      <c r="Z91" s="650">
        <v>1.7611399999999999</v>
      </c>
      <c r="AA91" s="654">
        <f t="shared" si="18"/>
        <v>0</v>
      </c>
      <c r="AB91" s="635"/>
      <c r="AC91" s="671"/>
      <c r="AD91" s="642"/>
      <c r="AE91" s="671"/>
      <c r="AF91" s="642"/>
      <c r="AG91" s="671"/>
      <c r="AH91" s="635"/>
      <c r="AI91" s="672"/>
      <c r="AJ91" s="673"/>
      <c r="AK91" s="658">
        <f t="shared" si="16"/>
        <v>0</v>
      </c>
      <c r="AL91" s="635"/>
      <c r="AM91" s="653">
        <v>0</v>
      </c>
      <c r="AN91" s="653">
        <v>0</v>
      </c>
      <c r="AO91" s="653">
        <v>0</v>
      </c>
      <c r="AP91" s="650">
        <v>0.2036</v>
      </c>
      <c r="AQ91" s="652">
        <f t="shared" si="19"/>
        <v>0</v>
      </c>
      <c r="AR91" s="635"/>
      <c r="AS91" s="659">
        <f t="shared" si="26"/>
        <v>1435</v>
      </c>
      <c r="AT91" s="643"/>
      <c r="AU91" s="567"/>
      <c r="AV91" s="567"/>
      <c r="AW91" s="567"/>
      <c r="AX91" s="567">
        <f t="shared" si="22"/>
        <v>1435</v>
      </c>
      <c r="AY91" s="660"/>
      <c r="AZ91" s="631"/>
      <c r="BA91" s="490"/>
      <c r="BE91" s="480">
        <v>0</v>
      </c>
      <c r="BF91" s="570">
        <f t="shared" si="23"/>
        <v>0</v>
      </c>
      <c r="BH91" s="685" t="s">
        <v>789</v>
      </c>
    </row>
    <row r="92" spans="1:60" s="645" customFormat="1" ht="15" x14ac:dyDescent="0.25">
      <c r="A92" s="685" t="s">
        <v>1377</v>
      </c>
      <c r="B92" s="489"/>
      <c r="C92" s="584" t="s">
        <v>791</v>
      </c>
      <c r="D92" s="635" t="s">
        <v>791</v>
      </c>
      <c r="E92" s="663"/>
      <c r="F92" s="664"/>
      <c r="G92" s="551">
        <v>0</v>
      </c>
      <c r="H92" s="551">
        <v>0</v>
      </c>
      <c r="I92" s="551">
        <v>0</v>
      </c>
      <c r="J92" s="649">
        <f t="shared" si="21"/>
        <v>0</v>
      </c>
      <c r="K92" s="668"/>
      <c r="L92" s="669">
        <f t="shared" si="14"/>
        <v>0</v>
      </c>
      <c r="M92" s="668" t="s">
        <v>266</v>
      </c>
      <c r="N92" s="553">
        <v>3.6804985850845933</v>
      </c>
      <c r="O92" s="670">
        <f t="shared" si="15"/>
        <v>0</v>
      </c>
      <c r="P92" s="640"/>
      <c r="Q92" s="653">
        <v>0</v>
      </c>
      <c r="R92" s="653">
        <v>0</v>
      </c>
      <c r="S92" s="653">
        <v>0</v>
      </c>
      <c r="T92" s="650">
        <v>0.2036</v>
      </c>
      <c r="U92" s="652">
        <f t="shared" si="17"/>
        <v>0</v>
      </c>
      <c r="V92" s="640"/>
      <c r="W92" s="653">
        <v>0</v>
      </c>
      <c r="X92" s="653">
        <v>0</v>
      </c>
      <c r="Y92" s="653">
        <v>0</v>
      </c>
      <c r="Z92" s="650">
        <v>1.7611399999999999</v>
      </c>
      <c r="AA92" s="654">
        <f t="shared" si="18"/>
        <v>0</v>
      </c>
      <c r="AB92" s="635"/>
      <c r="AC92" s="671"/>
      <c r="AD92" s="642"/>
      <c r="AE92" s="671"/>
      <c r="AF92" s="642"/>
      <c r="AG92" s="671"/>
      <c r="AH92" s="635"/>
      <c r="AI92" s="672"/>
      <c r="AJ92" s="673"/>
      <c r="AK92" s="658">
        <f t="shared" si="16"/>
        <v>0</v>
      </c>
      <c r="AL92" s="635"/>
      <c r="AM92" s="653">
        <v>0</v>
      </c>
      <c r="AN92" s="653">
        <v>0</v>
      </c>
      <c r="AO92" s="653">
        <v>0</v>
      </c>
      <c r="AP92" s="650">
        <v>0.2036</v>
      </c>
      <c r="AQ92" s="652">
        <f t="shared" si="19"/>
        <v>0</v>
      </c>
      <c r="AR92" s="635"/>
      <c r="AS92" s="659">
        <f t="shared" si="26"/>
        <v>0</v>
      </c>
      <c r="AT92" s="643"/>
      <c r="AU92" s="567"/>
      <c r="AV92" s="567"/>
      <c r="AW92" s="567"/>
      <c r="AX92" s="567">
        <f t="shared" si="22"/>
        <v>0</v>
      </c>
      <c r="AY92" s="660"/>
      <c r="AZ92" s="631"/>
      <c r="BA92" s="490"/>
      <c r="BE92" s="480">
        <v>0</v>
      </c>
      <c r="BF92" s="570">
        <f t="shared" si="23"/>
        <v>0</v>
      </c>
      <c r="BH92" s="685" t="s">
        <v>790</v>
      </c>
    </row>
    <row r="93" spans="1:60" s="645" customFormat="1" ht="15" x14ac:dyDescent="0.25">
      <c r="A93" s="685" t="s">
        <v>1378</v>
      </c>
      <c r="B93" s="489"/>
      <c r="C93" s="684" t="s">
        <v>793</v>
      </c>
      <c r="D93" s="635">
        <v>303699</v>
      </c>
      <c r="E93" s="663"/>
      <c r="F93" s="664"/>
      <c r="G93" s="551">
        <v>180</v>
      </c>
      <c r="H93" s="551">
        <v>210</v>
      </c>
      <c r="I93" s="551">
        <v>180</v>
      </c>
      <c r="J93" s="649">
        <f t="shared" si="21"/>
        <v>570</v>
      </c>
      <c r="K93" s="668"/>
      <c r="L93" s="669">
        <f t="shared" si="14"/>
        <v>570</v>
      </c>
      <c r="M93" s="668" t="s">
        <v>266</v>
      </c>
      <c r="N93" s="553">
        <v>3.6804985850845933</v>
      </c>
      <c r="O93" s="670">
        <f t="shared" si="15"/>
        <v>2098</v>
      </c>
      <c r="P93" s="640"/>
      <c r="Q93" s="653">
        <v>0</v>
      </c>
      <c r="R93" s="653">
        <v>0</v>
      </c>
      <c r="S93" s="653">
        <v>0</v>
      </c>
      <c r="T93" s="650">
        <v>0.2036</v>
      </c>
      <c r="U93" s="652">
        <f t="shared" si="17"/>
        <v>0</v>
      </c>
      <c r="V93" s="640"/>
      <c r="W93" s="653">
        <v>0</v>
      </c>
      <c r="X93" s="653">
        <v>0</v>
      </c>
      <c r="Y93" s="653">
        <v>0</v>
      </c>
      <c r="Z93" s="650">
        <v>1.7611399999999999</v>
      </c>
      <c r="AA93" s="654">
        <f t="shared" si="18"/>
        <v>0</v>
      </c>
      <c r="AB93" s="635"/>
      <c r="AC93" s="671"/>
      <c r="AD93" s="642"/>
      <c r="AE93" s="671"/>
      <c r="AF93" s="642"/>
      <c r="AG93" s="671"/>
      <c r="AH93" s="635"/>
      <c r="AI93" s="672"/>
      <c r="AJ93" s="673"/>
      <c r="AK93" s="658">
        <f t="shared" si="16"/>
        <v>0</v>
      </c>
      <c r="AL93" s="635"/>
      <c r="AM93" s="653">
        <v>0</v>
      </c>
      <c r="AN93" s="653">
        <v>0</v>
      </c>
      <c r="AO93" s="653">
        <v>0</v>
      </c>
      <c r="AP93" s="650">
        <v>0.2036</v>
      </c>
      <c r="AQ93" s="652">
        <f t="shared" si="19"/>
        <v>0</v>
      </c>
      <c r="AR93" s="635"/>
      <c r="AS93" s="659">
        <f t="shared" si="26"/>
        <v>2098</v>
      </c>
      <c r="AT93" s="643"/>
      <c r="AU93" s="567"/>
      <c r="AV93" s="567"/>
      <c r="AW93" s="567"/>
      <c r="AX93" s="567">
        <f t="shared" si="22"/>
        <v>2098</v>
      </c>
      <c r="AY93" s="660"/>
      <c r="AZ93" s="631"/>
      <c r="BA93" s="490"/>
      <c r="BE93" s="480">
        <v>0</v>
      </c>
      <c r="BF93" s="570">
        <f t="shared" si="23"/>
        <v>0</v>
      </c>
      <c r="BH93" s="685" t="s">
        <v>792</v>
      </c>
    </row>
    <row r="94" spans="1:60" s="645" customFormat="1" ht="15" x14ac:dyDescent="0.25">
      <c r="A94" s="692" t="s">
        <v>1379</v>
      </c>
      <c r="B94" s="697"/>
      <c r="C94" s="662">
        <v>205849</v>
      </c>
      <c r="D94" s="635">
        <v>205849</v>
      </c>
      <c r="E94" s="663"/>
      <c r="F94" s="664"/>
      <c r="G94" s="551">
        <v>540</v>
      </c>
      <c r="H94" s="551">
        <v>420</v>
      </c>
      <c r="I94" s="551">
        <v>360</v>
      </c>
      <c r="J94" s="649">
        <f t="shared" si="21"/>
        <v>1320</v>
      </c>
      <c r="K94" s="668"/>
      <c r="L94" s="669">
        <f t="shared" si="14"/>
        <v>1320</v>
      </c>
      <c r="M94" s="668" t="s">
        <v>266</v>
      </c>
      <c r="N94" s="553">
        <v>3.6804985850845933</v>
      </c>
      <c r="O94" s="670">
        <f t="shared" si="15"/>
        <v>4858</v>
      </c>
      <c r="P94" s="640"/>
      <c r="Q94" s="653">
        <v>180</v>
      </c>
      <c r="R94" s="653">
        <v>0</v>
      </c>
      <c r="S94" s="653">
        <v>0</v>
      </c>
      <c r="T94" s="650">
        <v>0.2036</v>
      </c>
      <c r="U94" s="652">
        <f t="shared" si="17"/>
        <v>36.648000000000003</v>
      </c>
      <c r="V94" s="640"/>
      <c r="W94" s="653">
        <v>0</v>
      </c>
      <c r="X94" s="653">
        <v>0</v>
      </c>
      <c r="Y94" s="653">
        <v>0</v>
      </c>
      <c r="Z94" s="650">
        <v>1.7611399999999999</v>
      </c>
      <c r="AA94" s="654">
        <f t="shared" si="18"/>
        <v>0</v>
      </c>
      <c r="AB94" s="635"/>
      <c r="AC94" s="671"/>
      <c r="AD94" s="642"/>
      <c r="AE94" s="671"/>
      <c r="AF94" s="642"/>
      <c r="AG94" s="671"/>
      <c r="AH94" s="635"/>
      <c r="AI94" s="672"/>
      <c r="AJ94" s="673"/>
      <c r="AK94" s="658">
        <f t="shared" si="16"/>
        <v>0</v>
      </c>
      <c r="AL94" s="635"/>
      <c r="AM94" s="653">
        <v>0</v>
      </c>
      <c r="AN94" s="653">
        <v>0</v>
      </c>
      <c r="AO94" s="653">
        <v>0</v>
      </c>
      <c r="AP94" s="650">
        <v>0.2036</v>
      </c>
      <c r="AQ94" s="652">
        <f t="shared" si="19"/>
        <v>0</v>
      </c>
      <c r="AR94" s="635"/>
      <c r="AS94" s="659">
        <f t="shared" si="26"/>
        <v>4894.6480000000001</v>
      </c>
      <c r="AT94" s="643"/>
      <c r="AU94" s="567"/>
      <c r="AV94" s="567"/>
      <c r="AW94" s="567"/>
      <c r="AX94" s="567">
        <f t="shared" si="22"/>
        <v>4894.6480000000001</v>
      </c>
      <c r="AY94" s="660"/>
      <c r="AZ94" s="631"/>
      <c r="BA94" s="490"/>
      <c r="BE94" s="480">
        <v>36.648000000000003</v>
      </c>
      <c r="BF94" s="570">
        <f t="shared" si="23"/>
        <v>0</v>
      </c>
      <c r="BH94" s="692" t="s">
        <v>794</v>
      </c>
    </row>
    <row r="95" spans="1:60" s="645" customFormat="1" ht="15" x14ac:dyDescent="0.25">
      <c r="A95" s="692" t="s">
        <v>1380</v>
      </c>
      <c r="B95" s="489"/>
      <c r="C95" s="690" t="s">
        <v>796</v>
      </c>
      <c r="D95" s="635">
        <v>407775</v>
      </c>
      <c r="E95" s="663"/>
      <c r="F95" s="664"/>
      <c r="G95" s="551">
        <v>0</v>
      </c>
      <c r="H95" s="551">
        <v>0</v>
      </c>
      <c r="I95" s="551">
        <v>0</v>
      </c>
      <c r="J95" s="649">
        <f t="shared" si="21"/>
        <v>0</v>
      </c>
      <c r="K95" s="668"/>
      <c r="L95" s="669">
        <f t="shared" si="14"/>
        <v>0</v>
      </c>
      <c r="M95" s="668" t="s">
        <v>266</v>
      </c>
      <c r="N95" s="553">
        <v>3.6804985850845933</v>
      </c>
      <c r="O95" s="670">
        <f t="shared" si="15"/>
        <v>0</v>
      </c>
      <c r="P95" s="640"/>
      <c r="Q95" s="653">
        <v>0</v>
      </c>
      <c r="R95" s="653">
        <v>0</v>
      </c>
      <c r="S95" s="653">
        <v>0</v>
      </c>
      <c r="T95" s="650">
        <v>0.2036</v>
      </c>
      <c r="U95" s="652">
        <f t="shared" si="17"/>
        <v>0</v>
      </c>
      <c r="V95" s="640"/>
      <c r="W95" s="653">
        <v>0</v>
      </c>
      <c r="X95" s="653">
        <v>0</v>
      </c>
      <c r="Y95" s="653">
        <v>0</v>
      </c>
      <c r="Z95" s="650">
        <v>1.7611399999999999</v>
      </c>
      <c r="AA95" s="654">
        <f t="shared" si="18"/>
        <v>0</v>
      </c>
      <c r="AB95" s="635"/>
      <c r="AC95" s="671"/>
      <c r="AD95" s="642"/>
      <c r="AE95" s="671"/>
      <c r="AF95" s="642"/>
      <c r="AG95" s="671"/>
      <c r="AH95" s="635"/>
      <c r="AI95" s="672"/>
      <c r="AJ95" s="673"/>
      <c r="AK95" s="658">
        <f t="shared" si="16"/>
        <v>0</v>
      </c>
      <c r="AL95" s="635"/>
      <c r="AM95" s="653">
        <v>0</v>
      </c>
      <c r="AN95" s="653">
        <v>0</v>
      </c>
      <c r="AO95" s="653">
        <v>0</v>
      </c>
      <c r="AP95" s="650">
        <v>0.2036</v>
      </c>
      <c r="AQ95" s="652">
        <f t="shared" si="19"/>
        <v>0</v>
      </c>
      <c r="AR95" s="635"/>
      <c r="AS95" s="659">
        <f t="shared" si="26"/>
        <v>0</v>
      </c>
      <c r="AT95" s="643"/>
      <c r="AU95" s="567"/>
      <c r="AV95" s="567"/>
      <c r="AW95" s="567"/>
      <c r="AX95" s="567">
        <f t="shared" si="22"/>
        <v>0</v>
      </c>
      <c r="AY95" s="660"/>
      <c r="AZ95" s="631"/>
      <c r="BA95" s="490"/>
      <c r="BE95" s="480">
        <v>0</v>
      </c>
      <c r="BF95" s="570">
        <f t="shared" si="23"/>
        <v>0</v>
      </c>
      <c r="BH95" s="692" t="s">
        <v>795</v>
      </c>
    </row>
    <row r="96" spans="1:60" s="645" customFormat="1" ht="15" x14ac:dyDescent="0.25">
      <c r="A96" s="698" t="s">
        <v>1381</v>
      </c>
      <c r="B96" s="489"/>
      <c r="C96" s="690" t="s">
        <v>798</v>
      </c>
      <c r="D96" s="635">
        <v>370868</v>
      </c>
      <c r="E96" s="663"/>
      <c r="F96" s="664"/>
      <c r="G96" s="551">
        <v>396</v>
      </c>
      <c r="H96" s="551">
        <v>84</v>
      </c>
      <c r="I96" s="551">
        <v>288</v>
      </c>
      <c r="J96" s="649">
        <f t="shared" si="21"/>
        <v>768</v>
      </c>
      <c r="K96" s="668"/>
      <c r="L96" s="669">
        <f t="shared" si="14"/>
        <v>768</v>
      </c>
      <c r="M96" s="668" t="s">
        <v>266</v>
      </c>
      <c r="N96" s="553">
        <v>3.6804985850845933</v>
      </c>
      <c r="O96" s="670">
        <f t="shared" si="15"/>
        <v>2827</v>
      </c>
      <c r="P96" s="640"/>
      <c r="Q96" s="653">
        <v>0</v>
      </c>
      <c r="R96" s="653">
        <v>0</v>
      </c>
      <c r="S96" s="653">
        <v>0</v>
      </c>
      <c r="T96" s="650">
        <v>0.2036</v>
      </c>
      <c r="U96" s="652">
        <f t="shared" si="17"/>
        <v>0</v>
      </c>
      <c r="V96" s="640"/>
      <c r="W96" s="653">
        <v>0</v>
      </c>
      <c r="X96" s="653">
        <v>0</v>
      </c>
      <c r="Y96" s="653">
        <v>0</v>
      </c>
      <c r="Z96" s="650">
        <v>1.7611399999999999</v>
      </c>
      <c r="AA96" s="654">
        <f t="shared" si="18"/>
        <v>0</v>
      </c>
      <c r="AB96" s="635"/>
      <c r="AC96" s="671"/>
      <c r="AD96" s="642"/>
      <c r="AE96" s="671"/>
      <c r="AF96" s="642"/>
      <c r="AG96" s="671"/>
      <c r="AH96" s="635"/>
      <c r="AI96" s="672"/>
      <c r="AJ96" s="673"/>
      <c r="AK96" s="658">
        <f t="shared" si="16"/>
        <v>0</v>
      </c>
      <c r="AL96" s="635"/>
      <c r="AM96" s="653">
        <v>0</v>
      </c>
      <c r="AN96" s="653">
        <v>0</v>
      </c>
      <c r="AO96" s="653">
        <v>0</v>
      </c>
      <c r="AP96" s="650">
        <v>0.2036</v>
      </c>
      <c r="AQ96" s="652">
        <f t="shared" si="19"/>
        <v>0</v>
      </c>
      <c r="AR96" s="635"/>
      <c r="AS96" s="659">
        <f>SUM(AQ96,AK96,AA96,U96,O96,AC96,AE96,AG96)</f>
        <v>2827</v>
      </c>
      <c r="AT96" s="643"/>
      <c r="AU96" s="567"/>
      <c r="AV96" s="567"/>
      <c r="AW96" s="567"/>
      <c r="AX96" s="567">
        <f t="shared" si="22"/>
        <v>2827</v>
      </c>
      <c r="AY96" s="660"/>
      <c r="AZ96" s="631"/>
      <c r="BA96" s="490"/>
      <c r="BC96" s="631"/>
      <c r="BD96" s="631"/>
      <c r="BE96" s="480">
        <v>0</v>
      </c>
      <c r="BF96" s="570">
        <f t="shared" si="23"/>
        <v>0</v>
      </c>
      <c r="BH96" s="698" t="s">
        <v>797</v>
      </c>
    </row>
    <row r="97" spans="1:60" s="645" customFormat="1" ht="15" x14ac:dyDescent="0.25">
      <c r="A97" s="685" t="s">
        <v>594</v>
      </c>
      <c r="B97" s="694"/>
      <c r="C97" s="694" t="s">
        <v>284</v>
      </c>
      <c r="D97" s="635">
        <v>240000</v>
      </c>
      <c r="E97" s="663"/>
      <c r="F97" s="664"/>
      <c r="G97" s="551">
        <v>0</v>
      </c>
      <c r="H97" s="551">
        <v>0</v>
      </c>
      <c r="I97" s="551">
        <v>0</v>
      </c>
      <c r="J97" s="649">
        <f t="shared" si="21"/>
        <v>0</v>
      </c>
      <c r="K97" s="668"/>
      <c r="L97" s="669">
        <f t="shared" si="14"/>
        <v>0</v>
      </c>
      <c r="M97" s="668" t="s">
        <v>266</v>
      </c>
      <c r="N97" s="553">
        <v>3.6804985850845933</v>
      </c>
      <c r="O97" s="670">
        <f t="shared" si="15"/>
        <v>0</v>
      </c>
      <c r="P97" s="640"/>
      <c r="Q97" s="653">
        <v>0</v>
      </c>
      <c r="R97" s="653">
        <v>0</v>
      </c>
      <c r="S97" s="653">
        <v>180</v>
      </c>
      <c r="T97" s="650">
        <v>0.2036</v>
      </c>
      <c r="U97" s="652">
        <f t="shared" si="17"/>
        <v>36.648000000000003</v>
      </c>
      <c r="V97" s="640"/>
      <c r="W97" s="653">
        <v>0</v>
      </c>
      <c r="X97" s="653">
        <v>0</v>
      </c>
      <c r="Y97" s="653">
        <v>0</v>
      </c>
      <c r="Z97" s="650">
        <v>1.7611399999999999</v>
      </c>
      <c r="AA97" s="654">
        <f t="shared" si="18"/>
        <v>0</v>
      </c>
      <c r="AB97" s="635"/>
      <c r="AC97" s="671"/>
      <c r="AD97" s="642"/>
      <c r="AE97" s="671"/>
      <c r="AF97" s="642"/>
      <c r="AG97" s="671"/>
      <c r="AH97" s="635"/>
      <c r="AI97" s="672"/>
      <c r="AJ97" s="673"/>
      <c r="AK97" s="658">
        <f t="shared" si="16"/>
        <v>0</v>
      </c>
      <c r="AL97" s="635"/>
      <c r="AM97" s="653">
        <v>0</v>
      </c>
      <c r="AN97" s="653">
        <v>0</v>
      </c>
      <c r="AO97" s="653">
        <v>0</v>
      </c>
      <c r="AP97" s="650">
        <v>0.2036</v>
      </c>
      <c r="AQ97" s="652">
        <f t="shared" si="19"/>
        <v>0</v>
      </c>
      <c r="AR97" s="635"/>
      <c r="AS97" s="659">
        <f>SUM(AQ97,AK97,AA97,U97,O97,AC97,AE97,AG97)</f>
        <v>36.648000000000003</v>
      </c>
      <c r="AT97" s="643"/>
      <c r="AU97" s="567"/>
      <c r="AV97" s="567"/>
      <c r="AW97" s="567"/>
      <c r="AX97" s="567">
        <f t="shared" si="22"/>
        <v>36.648000000000003</v>
      </c>
      <c r="AY97" s="660"/>
      <c r="AZ97" s="631"/>
      <c r="BA97" s="490"/>
      <c r="BC97" s="631"/>
      <c r="BD97" s="631"/>
      <c r="BE97" s="480">
        <v>36.648000000000003</v>
      </c>
      <c r="BF97" s="570">
        <f t="shared" si="23"/>
        <v>0</v>
      </c>
      <c r="BH97" s="685" t="s">
        <v>799</v>
      </c>
    </row>
    <row r="98" spans="1:60" s="645" customFormat="1" ht="15" x14ac:dyDescent="0.25">
      <c r="A98" s="699" t="s">
        <v>1382</v>
      </c>
      <c r="B98" s="694"/>
      <c r="C98" s="694" t="s">
        <v>801</v>
      </c>
      <c r="D98" s="635">
        <v>477127</v>
      </c>
      <c r="E98" s="663"/>
      <c r="F98" s="664"/>
      <c r="G98" s="551">
        <v>180</v>
      </c>
      <c r="H98" s="551">
        <v>210</v>
      </c>
      <c r="I98" s="551">
        <v>180</v>
      </c>
      <c r="J98" s="649">
        <f t="shared" si="21"/>
        <v>570</v>
      </c>
      <c r="K98" s="668"/>
      <c r="L98" s="669">
        <f t="shared" si="14"/>
        <v>570</v>
      </c>
      <c r="M98" s="668" t="s">
        <v>266</v>
      </c>
      <c r="N98" s="553">
        <v>3.6804985850845933</v>
      </c>
      <c r="O98" s="670">
        <f t="shared" si="15"/>
        <v>2098</v>
      </c>
      <c r="P98" s="640"/>
      <c r="Q98" s="653">
        <v>0</v>
      </c>
      <c r="R98" s="653">
        <v>0</v>
      </c>
      <c r="S98" s="653">
        <v>0</v>
      </c>
      <c r="T98" s="650">
        <v>0.2036</v>
      </c>
      <c r="U98" s="652">
        <f t="shared" si="17"/>
        <v>0</v>
      </c>
      <c r="V98" s="640"/>
      <c r="W98" s="653">
        <v>0</v>
      </c>
      <c r="X98" s="653">
        <v>0</v>
      </c>
      <c r="Y98" s="653">
        <v>0</v>
      </c>
      <c r="Z98" s="650">
        <v>1.7611399999999999</v>
      </c>
      <c r="AA98" s="654">
        <f t="shared" si="18"/>
        <v>0</v>
      </c>
      <c r="AB98" s="635"/>
      <c r="AC98" s="671"/>
      <c r="AD98" s="642"/>
      <c r="AE98" s="671"/>
      <c r="AF98" s="642"/>
      <c r="AG98" s="671"/>
      <c r="AH98" s="635"/>
      <c r="AI98" s="672"/>
      <c r="AJ98" s="673"/>
      <c r="AK98" s="658">
        <f t="shared" si="16"/>
        <v>0</v>
      </c>
      <c r="AL98" s="635"/>
      <c r="AM98" s="653">
        <v>0</v>
      </c>
      <c r="AN98" s="653">
        <v>0</v>
      </c>
      <c r="AO98" s="653">
        <v>0</v>
      </c>
      <c r="AP98" s="650">
        <v>0.2036</v>
      </c>
      <c r="AQ98" s="652">
        <f t="shared" si="19"/>
        <v>0</v>
      </c>
      <c r="AR98" s="635"/>
      <c r="AS98" s="659">
        <f>SUM(AQ98,AK98,AA98,U98,O98,AC98,AE98,AG98)</f>
        <v>2098</v>
      </c>
      <c r="AT98" s="643"/>
      <c r="AU98" s="567"/>
      <c r="AV98" s="567"/>
      <c r="AW98" s="567"/>
      <c r="AX98" s="567">
        <f t="shared" si="22"/>
        <v>2098</v>
      </c>
      <c r="AY98" s="660"/>
      <c r="AZ98" s="631"/>
      <c r="BA98" s="490"/>
      <c r="BD98" s="631"/>
      <c r="BE98" s="480">
        <v>0</v>
      </c>
      <c r="BF98" s="570">
        <f t="shared" si="23"/>
        <v>0</v>
      </c>
      <c r="BH98" s="699" t="s">
        <v>800</v>
      </c>
    </row>
    <row r="99" spans="1:60" s="645" customFormat="1" ht="15" x14ac:dyDescent="0.25">
      <c r="A99" s="693" t="s">
        <v>1384</v>
      </c>
      <c r="B99" s="489"/>
      <c r="C99" s="584">
        <v>205881</v>
      </c>
      <c r="D99" s="635">
        <v>205881</v>
      </c>
      <c r="E99" s="663"/>
      <c r="F99" s="664"/>
      <c r="G99" s="551">
        <v>180</v>
      </c>
      <c r="H99" s="551">
        <v>210</v>
      </c>
      <c r="I99" s="551">
        <v>180</v>
      </c>
      <c r="J99" s="649">
        <f t="shared" si="21"/>
        <v>570</v>
      </c>
      <c r="K99" s="668"/>
      <c r="L99" s="669">
        <f t="shared" si="14"/>
        <v>570</v>
      </c>
      <c r="M99" s="668" t="s">
        <v>266</v>
      </c>
      <c r="N99" s="553">
        <v>3.6804985850845933</v>
      </c>
      <c r="O99" s="670">
        <f t="shared" si="15"/>
        <v>2098</v>
      </c>
      <c r="P99" s="640"/>
      <c r="Q99" s="653">
        <v>180</v>
      </c>
      <c r="R99" s="653">
        <v>210</v>
      </c>
      <c r="S99" s="653">
        <v>0</v>
      </c>
      <c r="T99" s="650">
        <v>0.2036</v>
      </c>
      <c r="U99" s="652">
        <f t="shared" si="17"/>
        <v>79.403999999999996</v>
      </c>
      <c r="V99" s="640"/>
      <c r="W99" s="653">
        <v>0</v>
      </c>
      <c r="X99" s="653">
        <v>0</v>
      </c>
      <c r="Y99" s="653">
        <v>0</v>
      </c>
      <c r="Z99" s="650">
        <v>1.7611399999999999</v>
      </c>
      <c r="AA99" s="654">
        <f t="shared" si="18"/>
        <v>0</v>
      </c>
      <c r="AB99" s="635"/>
      <c r="AC99" s="671"/>
      <c r="AD99" s="642"/>
      <c r="AE99" s="671"/>
      <c r="AF99" s="642"/>
      <c r="AG99" s="671"/>
      <c r="AH99" s="635"/>
      <c r="AI99" s="672"/>
      <c r="AJ99" s="673"/>
      <c r="AK99" s="658">
        <f t="shared" si="16"/>
        <v>0</v>
      </c>
      <c r="AL99" s="635"/>
      <c r="AM99" s="653">
        <v>0</v>
      </c>
      <c r="AN99" s="653">
        <v>0</v>
      </c>
      <c r="AO99" s="653">
        <v>0</v>
      </c>
      <c r="AP99" s="650">
        <v>0.2036</v>
      </c>
      <c r="AQ99" s="652">
        <f t="shared" si="19"/>
        <v>0</v>
      </c>
      <c r="AR99" s="635"/>
      <c r="AS99" s="659">
        <f>SUM(AQ99,AK99,AA99,U99,O99,AC99,AE99,AG99)</f>
        <v>2177.404</v>
      </c>
      <c r="AT99" s="643"/>
      <c r="AU99" s="567"/>
      <c r="AV99" s="567"/>
      <c r="AW99" s="567"/>
      <c r="AX99" s="567">
        <f t="shared" si="22"/>
        <v>2177.404</v>
      </c>
      <c r="AY99" s="660"/>
      <c r="AZ99" s="631"/>
      <c r="BA99" s="490"/>
      <c r="BC99" s="631"/>
      <c r="BD99" s="631"/>
      <c r="BE99" s="480">
        <v>79.403999999999996</v>
      </c>
      <c r="BF99" s="570">
        <f t="shared" si="23"/>
        <v>0</v>
      </c>
      <c r="BH99" s="693" t="s">
        <v>802</v>
      </c>
    </row>
    <row r="100" spans="1:60" s="645" customFormat="1" ht="15" x14ac:dyDescent="0.25">
      <c r="A100" s="695" t="s">
        <v>1385</v>
      </c>
      <c r="B100" s="688"/>
      <c r="C100" s="688">
        <v>205922</v>
      </c>
      <c r="D100" s="635">
        <v>205922</v>
      </c>
      <c r="E100" s="663"/>
      <c r="F100" s="664"/>
      <c r="G100" s="551">
        <v>252</v>
      </c>
      <c r="H100" s="551">
        <v>378</v>
      </c>
      <c r="I100" s="551">
        <v>252</v>
      </c>
      <c r="J100" s="649">
        <f t="shared" si="21"/>
        <v>882</v>
      </c>
      <c r="K100" s="668"/>
      <c r="L100" s="669">
        <f t="shared" si="14"/>
        <v>882</v>
      </c>
      <c r="M100" s="668" t="s">
        <v>266</v>
      </c>
      <c r="N100" s="553">
        <v>3.6804985850845933</v>
      </c>
      <c r="O100" s="670">
        <f t="shared" si="15"/>
        <v>3246</v>
      </c>
      <c r="P100" s="640"/>
      <c r="Q100" s="653">
        <v>252</v>
      </c>
      <c r="R100" s="653">
        <v>210</v>
      </c>
      <c r="S100" s="653">
        <v>64.784842105263152</v>
      </c>
      <c r="T100" s="650">
        <v>0.2036</v>
      </c>
      <c r="U100" s="652">
        <f t="shared" si="17"/>
        <v>107.25339385263158</v>
      </c>
      <c r="V100" s="640"/>
      <c r="W100" s="653">
        <v>0</v>
      </c>
      <c r="X100" s="653">
        <v>0</v>
      </c>
      <c r="Y100" s="653">
        <v>0</v>
      </c>
      <c r="Z100" s="650">
        <v>1.7611399999999999</v>
      </c>
      <c r="AA100" s="654">
        <f t="shared" si="18"/>
        <v>0</v>
      </c>
      <c r="AB100" s="635"/>
      <c r="AC100" s="671"/>
      <c r="AD100" s="642"/>
      <c r="AE100" s="671"/>
      <c r="AF100" s="642"/>
      <c r="AG100" s="671"/>
      <c r="AH100" s="635"/>
      <c r="AI100" s="672"/>
      <c r="AJ100" s="673"/>
      <c r="AK100" s="658">
        <f t="shared" si="16"/>
        <v>0</v>
      </c>
      <c r="AL100" s="635"/>
      <c r="AM100" s="653">
        <v>0</v>
      </c>
      <c r="AN100" s="653">
        <v>0</v>
      </c>
      <c r="AO100" s="653">
        <v>0</v>
      </c>
      <c r="AP100" s="650">
        <v>0.2036</v>
      </c>
      <c r="AQ100" s="652">
        <f t="shared" si="19"/>
        <v>0</v>
      </c>
      <c r="AR100" s="635"/>
      <c r="AS100" s="659">
        <f t="shared" ref="AS100" si="27">SUM(AQ100,AK100,AA100,U100,O100,AC100,AE100,AG100)</f>
        <v>3353.2533938526317</v>
      </c>
      <c r="AT100" s="643"/>
      <c r="AU100" s="567"/>
      <c r="AV100" s="567"/>
      <c r="AW100" s="567"/>
      <c r="AX100" s="567">
        <f t="shared" si="22"/>
        <v>3353.2533938526317</v>
      </c>
      <c r="AY100" s="660"/>
      <c r="AZ100" s="631"/>
      <c r="BA100" s="490"/>
      <c r="BC100" s="631"/>
      <c r="BD100" s="631"/>
      <c r="BE100" s="480">
        <v>107.25339385263158</v>
      </c>
      <c r="BF100" s="570">
        <f t="shared" si="23"/>
        <v>0</v>
      </c>
      <c r="BH100" s="695" t="s">
        <v>803</v>
      </c>
    </row>
    <row r="101" spans="1:60" s="645" customFormat="1" ht="15" x14ac:dyDescent="0.25">
      <c r="A101" s="685" t="s">
        <v>542</v>
      </c>
      <c r="B101" s="688"/>
      <c r="C101" s="688" t="s">
        <v>289</v>
      </c>
      <c r="D101" s="635">
        <v>369088</v>
      </c>
      <c r="E101" s="663"/>
      <c r="F101" s="664"/>
      <c r="G101" s="551">
        <v>180</v>
      </c>
      <c r="H101" s="551">
        <v>0</v>
      </c>
      <c r="I101" s="551">
        <v>0</v>
      </c>
      <c r="J101" s="649">
        <f t="shared" si="21"/>
        <v>180</v>
      </c>
      <c r="K101" s="668"/>
      <c r="L101" s="669">
        <f t="shared" si="14"/>
        <v>180</v>
      </c>
      <c r="M101" s="668" t="s">
        <v>266</v>
      </c>
      <c r="N101" s="553">
        <v>3.6804985850845933</v>
      </c>
      <c r="O101" s="670">
        <f t="shared" si="15"/>
        <v>662</v>
      </c>
      <c r="P101" s="640"/>
      <c r="Q101" s="653">
        <v>0</v>
      </c>
      <c r="R101" s="653">
        <v>210</v>
      </c>
      <c r="S101" s="653">
        <v>0</v>
      </c>
      <c r="T101" s="650">
        <v>0.2036</v>
      </c>
      <c r="U101" s="652">
        <f t="shared" si="17"/>
        <v>42.756</v>
      </c>
      <c r="V101" s="640"/>
      <c r="W101" s="653">
        <v>0</v>
      </c>
      <c r="X101" s="653">
        <v>0</v>
      </c>
      <c r="Y101" s="653">
        <v>0</v>
      </c>
      <c r="Z101" s="650">
        <v>1.7611399999999999</v>
      </c>
      <c r="AA101" s="654">
        <f t="shared" si="18"/>
        <v>0</v>
      </c>
      <c r="AB101" s="635"/>
      <c r="AC101" s="671"/>
      <c r="AD101" s="642"/>
      <c r="AE101" s="671"/>
      <c r="AF101" s="642"/>
      <c r="AG101" s="671"/>
      <c r="AH101" s="635"/>
      <c r="AI101" s="672"/>
      <c r="AJ101" s="673"/>
      <c r="AK101" s="658">
        <f t="shared" si="16"/>
        <v>0</v>
      </c>
      <c r="AL101" s="635"/>
      <c r="AM101" s="653">
        <v>0</v>
      </c>
      <c r="AN101" s="653">
        <v>0</v>
      </c>
      <c r="AO101" s="653">
        <v>0</v>
      </c>
      <c r="AP101" s="650">
        <v>0.2036</v>
      </c>
      <c r="AQ101" s="652">
        <f t="shared" si="19"/>
        <v>0</v>
      </c>
      <c r="AR101" s="635"/>
      <c r="AS101" s="659">
        <f>SUM(AQ101,AK101,AA101,U101,O101,AC101,AE101,AG101)</f>
        <v>704.75599999999997</v>
      </c>
      <c r="AT101" s="643"/>
      <c r="AU101" s="567"/>
      <c r="AV101" s="567"/>
      <c r="AW101" s="567"/>
      <c r="AX101" s="567">
        <f t="shared" si="22"/>
        <v>704.75599999999997</v>
      </c>
      <c r="AY101" s="660"/>
      <c r="AZ101" s="631"/>
      <c r="BA101" s="490"/>
      <c r="BE101" s="480">
        <v>42.756</v>
      </c>
      <c r="BF101" s="570">
        <f t="shared" si="23"/>
        <v>0</v>
      </c>
      <c r="BH101" s="685" t="s">
        <v>804</v>
      </c>
    </row>
    <row r="102" spans="1:60" s="645" customFormat="1" ht="15" x14ac:dyDescent="0.25">
      <c r="A102" s="685" t="s">
        <v>1383</v>
      </c>
      <c r="B102" s="489"/>
      <c r="C102" s="584" t="s">
        <v>806</v>
      </c>
      <c r="D102" s="635" t="s">
        <v>806</v>
      </c>
      <c r="E102" s="663"/>
      <c r="F102" s="664"/>
      <c r="G102" s="551">
        <v>0</v>
      </c>
      <c r="H102" s="551">
        <v>0</v>
      </c>
      <c r="I102" s="551">
        <v>0</v>
      </c>
      <c r="J102" s="649">
        <f t="shared" si="21"/>
        <v>0</v>
      </c>
      <c r="K102" s="668"/>
      <c r="L102" s="669">
        <f t="shared" si="14"/>
        <v>0</v>
      </c>
      <c r="M102" s="668" t="s">
        <v>266</v>
      </c>
      <c r="N102" s="553">
        <v>3.6804985850845933</v>
      </c>
      <c r="O102" s="670">
        <f t="shared" si="15"/>
        <v>0</v>
      </c>
      <c r="P102" s="640"/>
      <c r="Q102" s="653">
        <v>0</v>
      </c>
      <c r="R102" s="653">
        <v>0</v>
      </c>
      <c r="S102" s="653">
        <v>0</v>
      </c>
      <c r="T102" s="650">
        <v>0.2036</v>
      </c>
      <c r="U102" s="652">
        <f t="shared" si="17"/>
        <v>0</v>
      </c>
      <c r="V102" s="640"/>
      <c r="W102" s="653">
        <v>0</v>
      </c>
      <c r="X102" s="653">
        <v>0</v>
      </c>
      <c r="Y102" s="653">
        <v>0</v>
      </c>
      <c r="Z102" s="650">
        <v>1.7611399999999999</v>
      </c>
      <c r="AA102" s="654">
        <f t="shared" si="18"/>
        <v>0</v>
      </c>
      <c r="AB102" s="635"/>
      <c r="AC102" s="671"/>
      <c r="AD102" s="642"/>
      <c r="AE102" s="671"/>
      <c r="AF102" s="642"/>
      <c r="AG102" s="671"/>
      <c r="AH102" s="635"/>
      <c r="AI102" s="672"/>
      <c r="AJ102" s="673"/>
      <c r="AK102" s="658">
        <f t="shared" si="16"/>
        <v>0</v>
      </c>
      <c r="AL102" s="635"/>
      <c r="AM102" s="653">
        <v>0</v>
      </c>
      <c r="AN102" s="653">
        <v>0</v>
      </c>
      <c r="AO102" s="653">
        <v>0</v>
      </c>
      <c r="AP102" s="650">
        <v>0.2036</v>
      </c>
      <c r="AQ102" s="652">
        <f t="shared" si="19"/>
        <v>0</v>
      </c>
      <c r="AR102" s="635"/>
      <c r="AS102" s="659">
        <f>SUM(AQ102,AK102,AA102,U102,O102,AC102,AE102,AG102)</f>
        <v>0</v>
      </c>
      <c r="AT102" s="643"/>
      <c r="AU102" s="567"/>
      <c r="AV102" s="567"/>
      <c r="AW102" s="567"/>
      <c r="AX102" s="567">
        <f t="shared" si="22"/>
        <v>0</v>
      </c>
      <c r="AY102" s="660"/>
      <c r="AZ102" s="631"/>
      <c r="BA102" s="490"/>
      <c r="BE102" s="480">
        <v>0</v>
      </c>
      <c r="BF102" s="570">
        <f t="shared" si="23"/>
        <v>0</v>
      </c>
      <c r="BH102" s="685" t="s">
        <v>805</v>
      </c>
    </row>
    <row r="103" spans="1:60" s="645" customFormat="1" ht="15" x14ac:dyDescent="0.25">
      <c r="A103" s="693" t="s">
        <v>807</v>
      </c>
      <c r="B103" s="489"/>
      <c r="C103" s="584" t="s">
        <v>808</v>
      </c>
      <c r="D103" s="635">
        <v>334731</v>
      </c>
      <c r="E103" s="663"/>
      <c r="F103" s="664"/>
      <c r="G103" s="551">
        <v>0</v>
      </c>
      <c r="H103" s="551">
        <v>0</v>
      </c>
      <c r="I103" s="551">
        <v>0</v>
      </c>
      <c r="J103" s="649">
        <f t="shared" si="21"/>
        <v>0</v>
      </c>
      <c r="K103" s="668"/>
      <c r="L103" s="669">
        <f t="shared" si="14"/>
        <v>0</v>
      </c>
      <c r="M103" s="668" t="s">
        <v>266</v>
      </c>
      <c r="N103" s="553">
        <v>3.6804985850845933</v>
      </c>
      <c r="O103" s="670">
        <f t="shared" si="15"/>
        <v>0</v>
      </c>
      <c r="P103" s="640"/>
      <c r="Q103" s="653">
        <v>180</v>
      </c>
      <c r="R103" s="653">
        <v>0</v>
      </c>
      <c r="S103" s="653">
        <v>0</v>
      </c>
      <c r="T103" s="650">
        <v>0.2036</v>
      </c>
      <c r="U103" s="652">
        <f t="shared" si="17"/>
        <v>36.648000000000003</v>
      </c>
      <c r="V103" s="640"/>
      <c r="W103" s="653">
        <v>0</v>
      </c>
      <c r="X103" s="653">
        <v>0</v>
      </c>
      <c r="Y103" s="653">
        <v>0</v>
      </c>
      <c r="Z103" s="650">
        <v>1.7611399999999999</v>
      </c>
      <c r="AA103" s="654">
        <f t="shared" si="18"/>
        <v>0</v>
      </c>
      <c r="AB103" s="635"/>
      <c r="AC103" s="671"/>
      <c r="AD103" s="642"/>
      <c r="AE103" s="671"/>
      <c r="AF103" s="642"/>
      <c r="AG103" s="671"/>
      <c r="AH103" s="635"/>
      <c r="AI103" s="672"/>
      <c r="AJ103" s="673"/>
      <c r="AK103" s="658">
        <f t="shared" si="16"/>
        <v>0</v>
      </c>
      <c r="AL103" s="635"/>
      <c r="AM103" s="653">
        <v>180</v>
      </c>
      <c r="AN103" s="653">
        <v>0</v>
      </c>
      <c r="AO103" s="653">
        <v>180</v>
      </c>
      <c r="AP103" s="650">
        <v>0.2036</v>
      </c>
      <c r="AQ103" s="652">
        <f t="shared" si="19"/>
        <v>73.296000000000006</v>
      </c>
      <c r="AR103" s="635"/>
      <c r="AS103" s="659">
        <f>SUM(AQ103,AK103,AA103,U103,O103,AC103,AE103,AG103)</f>
        <v>109.94400000000002</v>
      </c>
      <c r="AT103" s="643"/>
      <c r="AU103" s="567"/>
      <c r="AV103" s="567"/>
      <c r="AW103" s="567"/>
      <c r="AX103" s="567">
        <f t="shared" si="22"/>
        <v>109.94400000000002</v>
      </c>
      <c r="AY103" s="660"/>
      <c r="AZ103" s="631"/>
      <c r="BA103" s="490"/>
      <c r="BE103" s="480">
        <v>36.648000000000003</v>
      </c>
      <c r="BF103" s="570">
        <f t="shared" si="23"/>
        <v>0</v>
      </c>
      <c r="BH103" s="693" t="s">
        <v>807</v>
      </c>
    </row>
    <row r="104" spans="1:60" s="645" customFormat="1" ht="15" x14ac:dyDescent="0.25">
      <c r="A104" s="693" t="s">
        <v>543</v>
      </c>
      <c r="B104" s="688"/>
      <c r="C104" s="688">
        <v>2</v>
      </c>
      <c r="D104" s="635">
        <v>2</v>
      </c>
      <c r="E104" s="663"/>
      <c r="F104" s="664"/>
      <c r="G104" s="551">
        <v>0</v>
      </c>
      <c r="H104" s="551">
        <v>0</v>
      </c>
      <c r="I104" s="551">
        <v>0</v>
      </c>
      <c r="J104" s="649">
        <f t="shared" si="21"/>
        <v>0</v>
      </c>
      <c r="K104" s="668"/>
      <c r="L104" s="669">
        <f t="shared" si="14"/>
        <v>0</v>
      </c>
      <c r="M104" s="668" t="s">
        <v>266</v>
      </c>
      <c r="N104" s="553">
        <v>3.6804985850845933</v>
      </c>
      <c r="O104" s="670">
        <f t="shared" si="15"/>
        <v>0</v>
      </c>
      <c r="P104" s="640"/>
      <c r="Q104" s="653">
        <v>0</v>
      </c>
      <c r="R104" s="653">
        <v>0</v>
      </c>
      <c r="S104" s="653">
        <v>0</v>
      </c>
      <c r="T104" s="650">
        <v>0.2036</v>
      </c>
      <c r="U104" s="652">
        <f t="shared" si="17"/>
        <v>0</v>
      </c>
      <c r="V104" s="640"/>
      <c r="W104" s="653">
        <v>0</v>
      </c>
      <c r="X104" s="653">
        <v>0</v>
      </c>
      <c r="Y104" s="653">
        <v>0</v>
      </c>
      <c r="Z104" s="650">
        <v>1.7611399999999999</v>
      </c>
      <c r="AA104" s="654">
        <f t="shared" si="18"/>
        <v>0</v>
      </c>
      <c r="AB104" s="635"/>
      <c r="AC104" s="671"/>
      <c r="AD104" s="642"/>
      <c r="AE104" s="671"/>
      <c r="AF104" s="642"/>
      <c r="AG104" s="671"/>
      <c r="AH104" s="635"/>
      <c r="AI104" s="672"/>
      <c r="AJ104" s="673"/>
      <c r="AK104" s="658">
        <f t="shared" si="16"/>
        <v>0</v>
      </c>
      <c r="AL104" s="635"/>
      <c r="AM104" s="653">
        <v>0</v>
      </c>
      <c r="AN104" s="653">
        <v>0</v>
      </c>
      <c r="AO104" s="653">
        <v>0</v>
      </c>
      <c r="AP104" s="650">
        <v>0.2036</v>
      </c>
      <c r="AQ104" s="652">
        <f t="shared" si="19"/>
        <v>0</v>
      </c>
      <c r="AR104" s="635"/>
      <c r="AS104" s="659">
        <f t="shared" ref="AS104:AS108" si="28">SUM(AQ104,AK104,AA104,U104,O104,AC104,AE104,AG104)</f>
        <v>0</v>
      </c>
      <c r="AT104" s="643"/>
      <c r="AU104" s="567"/>
      <c r="AV104" s="567"/>
      <c r="AW104" s="567"/>
      <c r="AX104" s="567">
        <f t="shared" si="22"/>
        <v>0</v>
      </c>
      <c r="AY104" s="660"/>
      <c r="AZ104" s="631"/>
      <c r="BA104" s="490"/>
      <c r="BE104" s="480">
        <v>0</v>
      </c>
      <c r="BF104" s="570">
        <f t="shared" si="23"/>
        <v>0</v>
      </c>
      <c r="BH104" s="693" t="s">
        <v>809</v>
      </c>
    </row>
    <row r="105" spans="1:60" s="645" customFormat="1" ht="15" x14ac:dyDescent="0.25">
      <c r="A105" s="693" t="s">
        <v>1386</v>
      </c>
      <c r="B105" s="489"/>
      <c r="C105" s="677" t="s">
        <v>811</v>
      </c>
      <c r="D105" s="635">
        <v>405755</v>
      </c>
      <c r="E105" s="663"/>
      <c r="F105" s="664"/>
      <c r="G105" s="551">
        <v>180</v>
      </c>
      <c r="H105" s="551">
        <v>210</v>
      </c>
      <c r="I105" s="551">
        <v>180</v>
      </c>
      <c r="J105" s="649">
        <f t="shared" si="21"/>
        <v>570</v>
      </c>
      <c r="K105" s="668"/>
      <c r="L105" s="669">
        <f t="shared" si="14"/>
        <v>570</v>
      </c>
      <c r="M105" s="668" t="s">
        <v>266</v>
      </c>
      <c r="N105" s="553">
        <v>3.6804985850845933</v>
      </c>
      <c r="O105" s="670">
        <f t="shared" si="15"/>
        <v>2098</v>
      </c>
      <c r="P105" s="640"/>
      <c r="Q105" s="653">
        <v>0</v>
      </c>
      <c r="R105" s="653">
        <v>0</v>
      </c>
      <c r="S105" s="653">
        <v>0</v>
      </c>
      <c r="T105" s="650">
        <v>0.2036</v>
      </c>
      <c r="U105" s="652">
        <f t="shared" si="17"/>
        <v>0</v>
      </c>
      <c r="V105" s="640"/>
      <c r="W105" s="653">
        <v>0</v>
      </c>
      <c r="X105" s="653">
        <v>0</v>
      </c>
      <c r="Y105" s="653">
        <v>0</v>
      </c>
      <c r="Z105" s="650">
        <v>1.7611399999999999</v>
      </c>
      <c r="AA105" s="654">
        <f t="shared" si="18"/>
        <v>0</v>
      </c>
      <c r="AB105" s="635"/>
      <c r="AC105" s="671"/>
      <c r="AD105" s="642"/>
      <c r="AE105" s="671"/>
      <c r="AF105" s="642"/>
      <c r="AG105" s="671"/>
      <c r="AH105" s="635"/>
      <c r="AI105" s="672"/>
      <c r="AJ105" s="673"/>
      <c r="AK105" s="658">
        <f t="shared" si="16"/>
        <v>0</v>
      </c>
      <c r="AL105" s="635"/>
      <c r="AM105" s="653">
        <v>0</v>
      </c>
      <c r="AN105" s="653">
        <v>0</v>
      </c>
      <c r="AO105" s="653">
        <v>0</v>
      </c>
      <c r="AP105" s="650">
        <v>0.2036</v>
      </c>
      <c r="AQ105" s="652">
        <f t="shared" si="19"/>
        <v>0</v>
      </c>
      <c r="AR105" s="635"/>
      <c r="AS105" s="659">
        <f t="shared" si="28"/>
        <v>2098</v>
      </c>
      <c r="AT105" s="643"/>
      <c r="AU105" s="567"/>
      <c r="AV105" s="567"/>
      <c r="AW105" s="567"/>
      <c r="AX105" s="567">
        <f t="shared" si="22"/>
        <v>2098</v>
      </c>
      <c r="AY105" s="660"/>
      <c r="AZ105" s="631"/>
      <c r="BA105" s="490"/>
      <c r="BE105" s="480">
        <v>0</v>
      </c>
      <c r="BF105" s="570">
        <f t="shared" si="23"/>
        <v>0</v>
      </c>
      <c r="BH105" s="693" t="s">
        <v>810</v>
      </c>
    </row>
    <row r="106" spans="1:60" s="645" customFormat="1" ht="15" x14ac:dyDescent="0.25">
      <c r="A106" s="700" t="s">
        <v>1387</v>
      </c>
      <c r="B106" s="688"/>
      <c r="C106" s="701" t="s">
        <v>668</v>
      </c>
      <c r="D106" s="635" t="s">
        <v>813</v>
      </c>
      <c r="E106" s="663"/>
      <c r="F106" s="664"/>
      <c r="G106" s="551">
        <v>0</v>
      </c>
      <c r="H106" s="551">
        <v>0</v>
      </c>
      <c r="I106" s="551">
        <v>0</v>
      </c>
      <c r="J106" s="649">
        <f t="shared" si="21"/>
        <v>0</v>
      </c>
      <c r="K106" s="668"/>
      <c r="L106" s="669">
        <f t="shared" si="14"/>
        <v>0</v>
      </c>
      <c r="M106" s="668" t="s">
        <v>266</v>
      </c>
      <c r="N106" s="553">
        <v>3.6804985850845933</v>
      </c>
      <c r="O106" s="670">
        <f t="shared" si="15"/>
        <v>0</v>
      </c>
      <c r="P106" s="640"/>
      <c r="Q106" s="653">
        <v>0</v>
      </c>
      <c r="R106" s="653">
        <v>0</v>
      </c>
      <c r="S106" s="653">
        <v>0</v>
      </c>
      <c r="T106" s="650">
        <v>0.2036</v>
      </c>
      <c r="U106" s="652">
        <f t="shared" si="17"/>
        <v>0</v>
      </c>
      <c r="V106" s="640"/>
      <c r="W106" s="653">
        <v>0</v>
      </c>
      <c r="X106" s="653">
        <v>0</v>
      </c>
      <c r="Y106" s="653">
        <v>0</v>
      </c>
      <c r="Z106" s="650">
        <v>1.7611399999999999</v>
      </c>
      <c r="AA106" s="654">
        <f t="shared" si="18"/>
        <v>0</v>
      </c>
      <c r="AB106" s="635"/>
      <c r="AC106" s="671"/>
      <c r="AD106" s="642"/>
      <c r="AE106" s="671"/>
      <c r="AF106" s="642"/>
      <c r="AG106" s="671"/>
      <c r="AH106" s="635"/>
      <c r="AI106" s="672"/>
      <c r="AJ106" s="673"/>
      <c r="AK106" s="658">
        <f t="shared" si="16"/>
        <v>0</v>
      </c>
      <c r="AL106" s="635"/>
      <c r="AM106" s="653">
        <v>0</v>
      </c>
      <c r="AN106" s="653">
        <v>0</v>
      </c>
      <c r="AO106" s="653">
        <v>0</v>
      </c>
      <c r="AP106" s="650">
        <v>0.2036</v>
      </c>
      <c r="AQ106" s="652">
        <f t="shared" si="19"/>
        <v>0</v>
      </c>
      <c r="AR106" s="635"/>
      <c r="AS106" s="659">
        <f t="shared" si="28"/>
        <v>0</v>
      </c>
      <c r="AT106" s="643"/>
      <c r="AU106" s="567"/>
      <c r="AV106" s="567"/>
      <c r="AW106" s="567"/>
      <c r="AX106" s="567">
        <f t="shared" si="22"/>
        <v>0</v>
      </c>
      <c r="AY106" s="660"/>
      <c r="AZ106" s="631"/>
      <c r="BA106" s="490"/>
      <c r="BE106" s="480">
        <v>0</v>
      </c>
      <c r="BF106" s="570">
        <f t="shared" si="23"/>
        <v>0</v>
      </c>
      <c r="BH106" s="700" t="s">
        <v>812</v>
      </c>
    </row>
    <row r="107" spans="1:60" s="645" customFormat="1" ht="15" x14ac:dyDescent="0.25">
      <c r="A107" s="702" t="s">
        <v>544</v>
      </c>
      <c r="B107" s="686"/>
      <c r="C107" s="688">
        <v>205956</v>
      </c>
      <c r="D107" s="635">
        <v>205956</v>
      </c>
      <c r="E107" s="663"/>
      <c r="F107" s="664"/>
      <c r="G107" s="551">
        <v>0</v>
      </c>
      <c r="H107" s="551">
        <v>0</v>
      </c>
      <c r="I107" s="551">
        <v>0</v>
      </c>
      <c r="J107" s="649">
        <f t="shared" si="21"/>
        <v>0</v>
      </c>
      <c r="K107" s="668"/>
      <c r="L107" s="669">
        <f t="shared" si="14"/>
        <v>0</v>
      </c>
      <c r="M107" s="668" t="s">
        <v>266</v>
      </c>
      <c r="N107" s="553">
        <v>3.6804985850845933</v>
      </c>
      <c r="O107" s="670">
        <f t="shared" si="15"/>
        <v>0</v>
      </c>
      <c r="P107" s="640"/>
      <c r="Q107" s="653">
        <v>0</v>
      </c>
      <c r="R107" s="653">
        <v>0</v>
      </c>
      <c r="S107" s="653">
        <v>0</v>
      </c>
      <c r="T107" s="650">
        <v>0.2036</v>
      </c>
      <c r="U107" s="652">
        <f t="shared" si="17"/>
        <v>0</v>
      </c>
      <c r="V107" s="640"/>
      <c r="W107" s="653">
        <v>0</v>
      </c>
      <c r="X107" s="653">
        <v>0</v>
      </c>
      <c r="Y107" s="653">
        <v>0</v>
      </c>
      <c r="Z107" s="650">
        <v>1.7611399999999999</v>
      </c>
      <c r="AA107" s="654">
        <f t="shared" si="18"/>
        <v>0</v>
      </c>
      <c r="AB107" s="635"/>
      <c r="AC107" s="671"/>
      <c r="AD107" s="642"/>
      <c r="AE107" s="671"/>
      <c r="AF107" s="642"/>
      <c r="AG107" s="671"/>
      <c r="AH107" s="635"/>
      <c r="AI107" s="672"/>
      <c r="AJ107" s="673"/>
      <c r="AK107" s="658">
        <f t="shared" si="16"/>
        <v>0</v>
      </c>
      <c r="AL107" s="635"/>
      <c r="AM107" s="653">
        <v>0</v>
      </c>
      <c r="AN107" s="653">
        <v>0</v>
      </c>
      <c r="AO107" s="653">
        <v>0</v>
      </c>
      <c r="AP107" s="650">
        <v>0.2036</v>
      </c>
      <c r="AQ107" s="652">
        <f t="shared" si="19"/>
        <v>0</v>
      </c>
      <c r="AR107" s="635"/>
      <c r="AS107" s="659">
        <f t="shared" si="28"/>
        <v>0</v>
      </c>
      <c r="AT107" s="643"/>
      <c r="AU107" s="567"/>
      <c r="AV107" s="567"/>
      <c r="AW107" s="567"/>
      <c r="AX107" s="567">
        <f t="shared" si="22"/>
        <v>0</v>
      </c>
      <c r="AY107" s="660"/>
      <c r="AZ107" s="631"/>
      <c r="BA107" s="490"/>
      <c r="BE107" s="480">
        <v>0</v>
      </c>
      <c r="BF107" s="570">
        <f t="shared" si="23"/>
        <v>0</v>
      </c>
      <c r="BH107" s="702" t="s">
        <v>814</v>
      </c>
    </row>
    <row r="108" spans="1:60" s="645" customFormat="1" ht="15" x14ac:dyDescent="0.25">
      <c r="A108" s="693" t="s">
        <v>1388</v>
      </c>
      <c r="B108" s="489"/>
      <c r="C108" s="584" t="s">
        <v>686</v>
      </c>
      <c r="D108" s="635" t="s">
        <v>686</v>
      </c>
      <c r="E108" s="663"/>
      <c r="F108" s="664"/>
      <c r="G108" s="551">
        <v>360</v>
      </c>
      <c r="H108" s="551">
        <v>0</v>
      </c>
      <c r="I108" s="551">
        <v>0</v>
      </c>
      <c r="J108" s="649">
        <f t="shared" si="21"/>
        <v>360</v>
      </c>
      <c r="K108" s="668"/>
      <c r="L108" s="669">
        <f t="shared" si="14"/>
        <v>360</v>
      </c>
      <c r="M108" s="668" t="s">
        <v>266</v>
      </c>
      <c r="N108" s="553">
        <v>3.6804985850845933</v>
      </c>
      <c r="O108" s="670">
        <f t="shared" si="15"/>
        <v>1325</v>
      </c>
      <c r="P108" s="640"/>
      <c r="Q108" s="653">
        <v>0</v>
      </c>
      <c r="R108" s="653">
        <v>0</v>
      </c>
      <c r="S108" s="653">
        <v>0</v>
      </c>
      <c r="T108" s="650">
        <v>0.2036</v>
      </c>
      <c r="U108" s="652">
        <f t="shared" si="17"/>
        <v>0</v>
      </c>
      <c r="V108" s="640"/>
      <c r="W108" s="653">
        <v>0</v>
      </c>
      <c r="X108" s="653">
        <v>0</v>
      </c>
      <c r="Y108" s="653">
        <v>0</v>
      </c>
      <c r="Z108" s="650">
        <v>1.7611399999999999</v>
      </c>
      <c r="AA108" s="654">
        <f t="shared" si="18"/>
        <v>0</v>
      </c>
      <c r="AB108" s="635"/>
      <c r="AC108" s="671"/>
      <c r="AD108" s="642"/>
      <c r="AE108" s="671"/>
      <c r="AF108" s="642"/>
      <c r="AG108" s="671"/>
      <c r="AH108" s="635"/>
      <c r="AI108" s="672"/>
      <c r="AJ108" s="673"/>
      <c r="AK108" s="658">
        <f t="shared" si="16"/>
        <v>0</v>
      </c>
      <c r="AL108" s="635"/>
      <c r="AM108" s="653">
        <v>0</v>
      </c>
      <c r="AN108" s="653">
        <v>0</v>
      </c>
      <c r="AO108" s="653">
        <v>0</v>
      </c>
      <c r="AP108" s="650">
        <v>0.2036</v>
      </c>
      <c r="AQ108" s="652">
        <f t="shared" si="19"/>
        <v>0</v>
      </c>
      <c r="AR108" s="635"/>
      <c r="AS108" s="659">
        <f t="shared" si="28"/>
        <v>1325</v>
      </c>
      <c r="AT108" s="643"/>
      <c r="AU108" s="567"/>
      <c r="AV108" s="567"/>
      <c r="AW108" s="567"/>
      <c r="AX108" s="567">
        <f t="shared" si="22"/>
        <v>1325</v>
      </c>
      <c r="AY108" s="660"/>
      <c r="AZ108" s="631"/>
      <c r="BA108" s="490"/>
      <c r="BE108" s="480">
        <v>0</v>
      </c>
      <c r="BF108" s="570">
        <f t="shared" si="23"/>
        <v>0</v>
      </c>
      <c r="BH108" s="693" t="s">
        <v>815</v>
      </c>
    </row>
    <row r="109" spans="1:60" s="645" customFormat="1" ht="15" x14ac:dyDescent="0.25">
      <c r="A109" s="702" t="s">
        <v>1389</v>
      </c>
      <c r="B109" s="686"/>
      <c r="C109" s="684">
        <v>260849</v>
      </c>
      <c r="D109" s="635">
        <v>260849</v>
      </c>
      <c r="E109" s="663"/>
      <c r="F109" s="664"/>
      <c r="G109" s="551">
        <v>180</v>
      </c>
      <c r="H109" s="551">
        <v>210</v>
      </c>
      <c r="I109" s="551">
        <v>3150</v>
      </c>
      <c r="J109" s="649">
        <f t="shared" si="21"/>
        <v>3540</v>
      </c>
      <c r="K109" s="668"/>
      <c r="L109" s="669">
        <f t="shared" si="14"/>
        <v>3540</v>
      </c>
      <c r="M109" s="668" t="s">
        <v>266</v>
      </c>
      <c r="N109" s="553">
        <v>3.6804985850845933</v>
      </c>
      <c r="O109" s="670">
        <f t="shared" si="15"/>
        <v>13029</v>
      </c>
      <c r="P109" s="640"/>
      <c r="Q109" s="653">
        <v>0</v>
      </c>
      <c r="R109" s="653">
        <v>0</v>
      </c>
      <c r="S109" s="653">
        <v>0</v>
      </c>
      <c r="T109" s="650">
        <v>0.2036</v>
      </c>
      <c r="U109" s="652">
        <f t="shared" si="17"/>
        <v>0</v>
      </c>
      <c r="V109" s="640"/>
      <c r="W109" s="653">
        <v>0</v>
      </c>
      <c r="X109" s="653">
        <v>0</v>
      </c>
      <c r="Y109" s="653">
        <v>0</v>
      </c>
      <c r="Z109" s="650">
        <v>1.7611399999999999</v>
      </c>
      <c r="AA109" s="654">
        <f t="shared" si="18"/>
        <v>0</v>
      </c>
      <c r="AB109" s="635"/>
      <c r="AC109" s="671"/>
      <c r="AD109" s="642"/>
      <c r="AE109" s="671"/>
      <c r="AF109" s="642"/>
      <c r="AG109" s="671"/>
      <c r="AH109" s="635"/>
      <c r="AI109" s="672"/>
      <c r="AJ109" s="673"/>
      <c r="AK109" s="658">
        <f t="shared" si="16"/>
        <v>0</v>
      </c>
      <c r="AL109" s="635"/>
      <c r="AM109" s="653">
        <v>0</v>
      </c>
      <c r="AN109" s="653">
        <v>0</v>
      </c>
      <c r="AO109" s="653">
        <v>0</v>
      </c>
      <c r="AP109" s="650">
        <v>0.2036</v>
      </c>
      <c r="AQ109" s="652">
        <f t="shared" si="19"/>
        <v>0</v>
      </c>
      <c r="AR109" s="635"/>
      <c r="AS109" s="659">
        <f>SUM(AQ109,AK109,AA109,U109,O109,AC109,AE109,AG109)</f>
        <v>13029</v>
      </c>
      <c r="AT109" s="643"/>
      <c r="AU109" s="567"/>
      <c r="AV109" s="567"/>
      <c r="AW109" s="567"/>
      <c r="AX109" s="567">
        <f t="shared" si="22"/>
        <v>13029</v>
      </c>
      <c r="AY109" s="660"/>
      <c r="AZ109" s="631"/>
      <c r="BA109" s="490"/>
      <c r="BE109" s="480">
        <v>0</v>
      </c>
      <c r="BF109" s="570">
        <f t="shared" si="23"/>
        <v>0</v>
      </c>
      <c r="BH109" s="702" t="s">
        <v>816</v>
      </c>
    </row>
    <row r="110" spans="1:60" s="645" customFormat="1" ht="15" x14ac:dyDescent="0.25">
      <c r="A110" s="693" t="s">
        <v>1390</v>
      </c>
      <c r="B110" s="688"/>
      <c r="C110" s="684" t="s">
        <v>818</v>
      </c>
      <c r="D110" s="635">
        <v>463605</v>
      </c>
      <c r="E110" s="663"/>
      <c r="F110" s="664"/>
      <c r="G110" s="551">
        <v>360</v>
      </c>
      <c r="H110" s="551">
        <v>630</v>
      </c>
      <c r="I110" s="551">
        <v>720</v>
      </c>
      <c r="J110" s="649">
        <f t="shared" si="21"/>
        <v>1710</v>
      </c>
      <c r="K110" s="668"/>
      <c r="L110" s="669">
        <f t="shared" si="14"/>
        <v>1710</v>
      </c>
      <c r="M110" s="668" t="s">
        <v>266</v>
      </c>
      <c r="N110" s="553">
        <v>3.6804985850845933</v>
      </c>
      <c r="O110" s="670">
        <f t="shared" si="15"/>
        <v>6294</v>
      </c>
      <c r="P110" s="640"/>
      <c r="Q110" s="653">
        <v>0</v>
      </c>
      <c r="R110" s="653">
        <v>0</v>
      </c>
      <c r="S110" s="653">
        <v>0</v>
      </c>
      <c r="T110" s="650">
        <v>0.2036</v>
      </c>
      <c r="U110" s="652">
        <f t="shared" si="17"/>
        <v>0</v>
      </c>
      <c r="V110" s="640"/>
      <c r="W110" s="653">
        <v>0</v>
      </c>
      <c r="X110" s="653">
        <v>0</v>
      </c>
      <c r="Y110" s="653">
        <v>0</v>
      </c>
      <c r="Z110" s="650">
        <v>1.7611399999999999</v>
      </c>
      <c r="AA110" s="654">
        <f t="shared" si="18"/>
        <v>0</v>
      </c>
      <c r="AB110" s="635"/>
      <c r="AC110" s="671"/>
      <c r="AD110" s="642"/>
      <c r="AE110" s="671"/>
      <c r="AF110" s="642"/>
      <c r="AG110" s="671"/>
      <c r="AH110" s="635"/>
      <c r="AI110" s="672"/>
      <c r="AJ110" s="673"/>
      <c r="AK110" s="658">
        <f t="shared" si="16"/>
        <v>0</v>
      </c>
      <c r="AL110" s="635"/>
      <c r="AM110" s="653">
        <v>0</v>
      </c>
      <c r="AN110" s="653">
        <v>0</v>
      </c>
      <c r="AO110" s="653">
        <v>0</v>
      </c>
      <c r="AP110" s="650">
        <v>0.2036</v>
      </c>
      <c r="AQ110" s="652">
        <f t="shared" si="19"/>
        <v>0</v>
      </c>
      <c r="AR110" s="635"/>
      <c r="AS110" s="659">
        <f>SUM(AQ110,AK110,AA110,U110,O110,AC110,AE110,AG110)</f>
        <v>6294</v>
      </c>
      <c r="AT110" s="643"/>
      <c r="AU110" s="567"/>
      <c r="AV110" s="567"/>
      <c r="AW110" s="567"/>
      <c r="AX110" s="567">
        <f t="shared" si="22"/>
        <v>6294</v>
      </c>
      <c r="AY110" s="660"/>
      <c r="AZ110" s="631"/>
      <c r="BA110" s="490"/>
      <c r="BE110" s="480">
        <v>0</v>
      </c>
      <c r="BF110" s="570">
        <f t="shared" si="23"/>
        <v>0</v>
      </c>
      <c r="BH110" s="693" t="s">
        <v>817</v>
      </c>
    </row>
    <row r="111" spans="1:60" s="645" customFormat="1" ht="15" x14ac:dyDescent="0.25">
      <c r="A111" s="703" t="s">
        <v>1391</v>
      </c>
      <c r="B111" s="686"/>
      <c r="C111" s="677" t="s">
        <v>291</v>
      </c>
      <c r="D111" s="635">
        <v>340934</v>
      </c>
      <c r="E111" s="663"/>
      <c r="F111" s="664"/>
      <c r="G111" s="551">
        <v>396</v>
      </c>
      <c r="H111" s="551">
        <v>420</v>
      </c>
      <c r="I111" s="551">
        <v>216</v>
      </c>
      <c r="J111" s="649">
        <f t="shared" si="21"/>
        <v>1032</v>
      </c>
      <c r="K111" s="668"/>
      <c r="L111" s="669">
        <f t="shared" si="14"/>
        <v>1032</v>
      </c>
      <c r="M111" s="668" t="s">
        <v>266</v>
      </c>
      <c r="N111" s="553">
        <v>3.6804985850845933</v>
      </c>
      <c r="O111" s="670">
        <f t="shared" si="15"/>
        <v>3798</v>
      </c>
      <c r="P111" s="640"/>
      <c r="Q111" s="653">
        <v>720</v>
      </c>
      <c r="R111" s="653">
        <v>630</v>
      </c>
      <c r="S111" s="653">
        <v>0</v>
      </c>
      <c r="T111" s="650">
        <v>0.2036</v>
      </c>
      <c r="U111" s="652">
        <f t="shared" si="17"/>
        <v>274.86</v>
      </c>
      <c r="V111" s="640"/>
      <c r="W111" s="653">
        <v>0</v>
      </c>
      <c r="X111" s="653">
        <v>0</v>
      </c>
      <c r="Y111" s="653">
        <v>0</v>
      </c>
      <c r="Z111" s="650">
        <v>1.7611399999999999</v>
      </c>
      <c r="AA111" s="654">
        <f t="shared" si="18"/>
        <v>0</v>
      </c>
      <c r="AB111" s="635"/>
      <c r="AC111" s="671"/>
      <c r="AD111" s="642"/>
      <c r="AE111" s="671"/>
      <c r="AF111" s="642"/>
      <c r="AG111" s="671"/>
      <c r="AH111" s="635"/>
      <c r="AI111" s="672"/>
      <c r="AJ111" s="673"/>
      <c r="AK111" s="658">
        <f t="shared" si="16"/>
        <v>0</v>
      </c>
      <c r="AL111" s="635"/>
      <c r="AM111" s="653">
        <v>0</v>
      </c>
      <c r="AN111" s="653">
        <v>0</v>
      </c>
      <c r="AO111" s="653">
        <v>0</v>
      </c>
      <c r="AP111" s="650">
        <v>0.2036</v>
      </c>
      <c r="AQ111" s="652">
        <f t="shared" si="19"/>
        <v>0</v>
      </c>
      <c r="AR111" s="635"/>
      <c r="AS111" s="659">
        <f>SUM(AQ111,AK111,AA111,U111,O111,AC111,AE111,AG111)</f>
        <v>4072.86</v>
      </c>
      <c r="AT111" s="643"/>
      <c r="AU111" s="567"/>
      <c r="AV111" s="567"/>
      <c r="AW111" s="567"/>
      <c r="AX111" s="567">
        <f t="shared" si="22"/>
        <v>4072.86</v>
      </c>
      <c r="AY111" s="660"/>
      <c r="AZ111" s="631"/>
      <c r="BA111" s="490"/>
      <c r="BE111" s="480">
        <v>274.86</v>
      </c>
      <c r="BF111" s="570">
        <f t="shared" si="23"/>
        <v>0</v>
      </c>
      <c r="BH111" s="703" t="s">
        <v>819</v>
      </c>
    </row>
    <row r="112" spans="1:60" s="645" customFormat="1" ht="15" x14ac:dyDescent="0.25">
      <c r="A112" s="685" t="s">
        <v>1392</v>
      </c>
      <c r="B112" s="489"/>
      <c r="C112" s="690" t="s">
        <v>821</v>
      </c>
      <c r="D112" s="635">
        <v>357686</v>
      </c>
      <c r="E112" s="663"/>
      <c r="F112" s="664"/>
      <c r="G112" s="551">
        <v>360</v>
      </c>
      <c r="H112" s="551">
        <v>630</v>
      </c>
      <c r="I112" s="551">
        <v>540</v>
      </c>
      <c r="J112" s="649">
        <f t="shared" si="21"/>
        <v>1530</v>
      </c>
      <c r="K112" s="668"/>
      <c r="L112" s="669">
        <f t="shared" si="14"/>
        <v>1530</v>
      </c>
      <c r="M112" s="668" t="s">
        <v>266</v>
      </c>
      <c r="N112" s="553">
        <v>3.6804985850845933</v>
      </c>
      <c r="O112" s="670">
        <f t="shared" si="15"/>
        <v>5631</v>
      </c>
      <c r="P112" s="640"/>
      <c r="Q112" s="653">
        <v>720</v>
      </c>
      <c r="R112" s="653">
        <v>840</v>
      </c>
      <c r="S112" s="653">
        <v>0</v>
      </c>
      <c r="T112" s="650">
        <v>0.2036</v>
      </c>
      <c r="U112" s="652">
        <f t="shared" si="17"/>
        <v>317.61599999999999</v>
      </c>
      <c r="V112" s="640"/>
      <c r="W112" s="653">
        <v>0</v>
      </c>
      <c r="X112" s="653">
        <v>0</v>
      </c>
      <c r="Y112" s="653">
        <v>0</v>
      </c>
      <c r="Z112" s="650">
        <v>1.7611399999999999</v>
      </c>
      <c r="AA112" s="654">
        <f t="shared" si="18"/>
        <v>0</v>
      </c>
      <c r="AB112" s="635"/>
      <c r="AC112" s="671"/>
      <c r="AD112" s="642"/>
      <c r="AE112" s="671"/>
      <c r="AF112" s="642"/>
      <c r="AG112" s="671"/>
      <c r="AH112" s="635"/>
      <c r="AI112" s="672"/>
      <c r="AJ112" s="673"/>
      <c r="AK112" s="658">
        <f t="shared" si="16"/>
        <v>0</v>
      </c>
      <c r="AL112" s="635"/>
      <c r="AM112" s="653">
        <v>0</v>
      </c>
      <c r="AN112" s="653">
        <v>0</v>
      </c>
      <c r="AO112" s="653">
        <v>0</v>
      </c>
      <c r="AP112" s="650">
        <v>0.2036</v>
      </c>
      <c r="AQ112" s="652">
        <f t="shared" si="19"/>
        <v>0</v>
      </c>
      <c r="AR112" s="635"/>
      <c r="AS112" s="659">
        <f t="shared" ref="AS112:AS113" si="29">SUM(AQ112,AK112,AA112,U112,O112,AC112,AE112,AG112)</f>
        <v>5948.616</v>
      </c>
      <c r="AT112" s="643"/>
      <c r="AU112" s="567"/>
      <c r="AV112" s="567"/>
      <c r="AW112" s="567"/>
      <c r="AX112" s="567">
        <f t="shared" si="22"/>
        <v>5948.616</v>
      </c>
      <c r="AY112" s="660"/>
      <c r="AZ112" s="631"/>
      <c r="BA112" s="490"/>
      <c r="BE112" s="480">
        <v>317.61599999999999</v>
      </c>
      <c r="BF112" s="570">
        <f t="shared" si="23"/>
        <v>0</v>
      </c>
      <c r="BH112" s="685" t="s">
        <v>820</v>
      </c>
    </row>
    <row r="113" spans="1:60" s="645" customFormat="1" ht="15" x14ac:dyDescent="0.25">
      <c r="A113" s="692" t="s">
        <v>1393</v>
      </c>
      <c r="B113" s="644"/>
      <c r="C113" s="677" t="s">
        <v>823</v>
      </c>
      <c r="D113" s="635" t="s">
        <v>823</v>
      </c>
      <c r="E113" s="663"/>
      <c r="F113" s="664"/>
      <c r="G113" s="551">
        <v>0</v>
      </c>
      <c r="H113" s="551">
        <v>0</v>
      </c>
      <c r="I113" s="551">
        <v>0</v>
      </c>
      <c r="J113" s="649">
        <f t="shared" si="21"/>
        <v>0</v>
      </c>
      <c r="K113" s="668"/>
      <c r="L113" s="669">
        <f t="shared" si="14"/>
        <v>0</v>
      </c>
      <c r="M113" s="668" t="s">
        <v>266</v>
      </c>
      <c r="N113" s="553">
        <v>3.6804985850845933</v>
      </c>
      <c r="O113" s="670">
        <f t="shared" si="15"/>
        <v>0</v>
      </c>
      <c r="P113" s="640"/>
      <c r="Q113" s="653">
        <v>0</v>
      </c>
      <c r="R113" s="653">
        <v>0</v>
      </c>
      <c r="S113" s="653">
        <v>0</v>
      </c>
      <c r="T113" s="650">
        <v>0.2036</v>
      </c>
      <c r="U113" s="652">
        <f t="shared" si="17"/>
        <v>0</v>
      </c>
      <c r="V113" s="640"/>
      <c r="W113" s="653">
        <v>0</v>
      </c>
      <c r="X113" s="653">
        <v>0</v>
      </c>
      <c r="Y113" s="653">
        <v>0</v>
      </c>
      <c r="Z113" s="650">
        <v>1.7611399999999999</v>
      </c>
      <c r="AA113" s="654">
        <f t="shared" si="18"/>
        <v>0</v>
      </c>
      <c r="AB113" s="635"/>
      <c r="AC113" s="671"/>
      <c r="AD113" s="642"/>
      <c r="AE113" s="671"/>
      <c r="AF113" s="642"/>
      <c r="AG113" s="671"/>
      <c r="AH113" s="635"/>
      <c r="AI113" s="672"/>
      <c r="AJ113" s="673"/>
      <c r="AK113" s="658">
        <f t="shared" si="16"/>
        <v>0</v>
      </c>
      <c r="AL113" s="635"/>
      <c r="AM113" s="653">
        <v>0</v>
      </c>
      <c r="AN113" s="653">
        <v>0</v>
      </c>
      <c r="AO113" s="653">
        <v>0</v>
      </c>
      <c r="AP113" s="650">
        <v>0.2036</v>
      </c>
      <c r="AQ113" s="652">
        <f t="shared" si="19"/>
        <v>0</v>
      </c>
      <c r="AR113" s="635"/>
      <c r="AS113" s="659">
        <f t="shared" si="29"/>
        <v>0</v>
      </c>
      <c r="AT113" s="643"/>
      <c r="AU113" s="567"/>
      <c r="AV113" s="567"/>
      <c r="AW113" s="567"/>
      <c r="AX113" s="567">
        <f t="shared" si="22"/>
        <v>0</v>
      </c>
      <c r="AY113" s="660"/>
      <c r="AZ113" s="631"/>
      <c r="BA113" s="490"/>
      <c r="BE113" s="480">
        <v>0</v>
      </c>
      <c r="BF113" s="570">
        <f t="shared" si="23"/>
        <v>0</v>
      </c>
      <c r="BH113" s="692" t="s">
        <v>822</v>
      </c>
    </row>
    <row r="114" spans="1:60" s="645" customFormat="1" ht="15" x14ac:dyDescent="0.25">
      <c r="A114" s="692" t="s">
        <v>1394</v>
      </c>
      <c r="B114" s="686"/>
      <c r="C114" s="690" t="s">
        <v>825</v>
      </c>
      <c r="D114" s="635">
        <v>396733</v>
      </c>
      <c r="E114" s="663"/>
      <c r="F114" s="664"/>
      <c r="G114" s="551">
        <v>0</v>
      </c>
      <c r="H114" s="551">
        <v>0</v>
      </c>
      <c r="I114" s="551">
        <v>0</v>
      </c>
      <c r="J114" s="649">
        <f t="shared" si="21"/>
        <v>0</v>
      </c>
      <c r="K114" s="668"/>
      <c r="L114" s="669">
        <f t="shared" si="14"/>
        <v>0</v>
      </c>
      <c r="M114" s="668" t="s">
        <v>266</v>
      </c>
      <c r="N114" s="553">
        <v>3.6804985850845933</v>
      </c>
      <c r="O114" s="670">
        <f t="shared" si="15"/>
        <v>0</v>
      </c>
      <c r="P114" s="640"/>
      <c r="Q114" s="653">
        <v>540</v>
      </c>
      <c r="R114" s="653">
        <v>0</v>
      </c>
      <c r="S114" s="653">
        <v>0</v>
      </c>
      <c r="T114" s="650">
        <v>0.2036</v>
      </c>
      <c r="U114" s="652">
        <f t="shared" si="17"/>
        <v>109.944</v>
      </c>
      <c r="V114" s="640"/>
      <c r="W114" s="653">
        <v>0</v>
      </c>
      <c r="X114" s="653">
        <v>0</v>
      </c>
      <c r="Y114" s="653">
        <v>0</v>
      </c>
      <c r="Z114" s="650">
        <v>1.7611399999999999</v>
      </c>
      <c r="AA114" s="654">
        <f t="shared" si="18"/>
        <v>0</v>
      </c>
      <c r="AB114" s="635"/>
      <c r="AC114" s="671"/>
      <c r="AD114" s="642"/>
      <c r="AE114" s="671"/>
      <c r="AF114" s="642"/>
      <c r="AG114" s="671"/>
      <c r="AH114" s="635"/>
      <c r="AI114" s="672"/>
      <c r="AJ114" s="673"/>
      <c r="AK114" s="658">
        <f t="shared" si="16"/>
        <v>0</v>
      </c>
      <c r="AL114" s="635"/>
      <c r="AM114" s="653">
        <v>0</v>
      </c>
      <c r="AN114" s="653">
        <v>0</v>
      </c>
      <c r="AO114" s="653">
        <v>0</v>
      </c>
      <c r="AP114" s="650">
        <v>0.2036</v>
      </c>
      <c r="AQ114" s="652">
        <f t="shared" si="19"/>
        <v>0</v>
      </c>
      <c r="AR114" s="635"/>
      <c r="AS114" s="659">
        <f>SUM(AQ114,AK114,AA114,U114,O114,AC114,AE114,AG114)</f>
        <v>109.944</v>
      </c>
      <c r="AT114" s="643"/>
      <c r="AU114" s="567"/>
      <c r="AV114" s="567"/>
      <c r="AW114" s="567"/>
      <c r="AX114" s="567">
        <f t="shared" si="22"/>
        <v>109.944</v>
      </c>
      <c r="AY114" s="660"/>
      <c r="AZ114" s="631"/>
      <c r="BA114" s="490"/>
      <c r="BE114" s="480">
        <v>109.944</v>
      </c>
      <c r="BF114" s="570">
        <f t="shared" si="23"/>
        <v>0</v>
      </c>
      <c r="BH114" s="692" t="s">
        <v>824</v>
      </c>
    </row>
    <row r="115" spans="1:60" s="645" customFormat="1" ht="15" x14ac:dyDescent="0.25">
      <c r="A115" s="693" t="s">
        <v>1395</v>
      </c>
      <c r="B115" s="489"/>
      <c r="C115" s="690" t="s">
        <v>827</v>
      </c>
      <c r="D115" s="635">
        <v>405054</v>
      </c>
      <c r="E115" s="663"/>
      <c r="F115" s="664"/>
      <c r="G115" s="551">
        <v>0</v>
      </c>
      <c r="H115" s="551">
        <v>0</v>
      </c>
      <c r="I115" s="551">
        <v>0</v>
      </c>
      <c r="J115" s="649">
        <f t="shared" si="21"/>
        <v>0</v>
      </c>
      <c r="K115" s="668"/>
      <c r="L115" s="669">
        <f t="shared" si="14"/>
        <v>0</v>
      </c>
      <c r="M115" s="668" t="s">
        <v>266</v>
      </c>
      <c r="N115" s="553">
        <v>3.6804985850845933</v>
      </c>
      <c r="O115" s="670">
        <f t="shared" si="15"/>
        <v>0</v>
      </c>
      <c r="P115" s="640"/>
      <c r="Q115" s="653">
        <v>180</v>
      </c>
      <c r="R115" s="653">
        <v>0</v>
      </c>
      <c r="S115" s="653">
        <v>0</v>
      </c>
      <c r="T115" s="650">
        <v>0.2036</v>
      </c>
      <c r="U115" s="652">
        <f t="shared" si="17"/>
        <v>36.648000000000003</v>
      </c>
      <c r="V115" s="640"/>
      <c r="W115" s="653">
        <v>0</v>
      </c>
      <c r="X115" s="653">
        <v>0</v>
      </c>
      <c r="Y115" s="653">
        <v>0</v>
      </c>
      <c r="Z115" s="650">
        <v>1.7611399999999999</v>
      </c>
      <c r="AA115" s="654">
        <f t="shared" si="18"/>
        <v>0</v>
      </c>
      <c r="AB115" s="635"/>
      <c r="AC115" s="671"/>
      <c r="AD115" s="642"/>
      <c r="AE115" s="671"/>
      <c r="AF115" s="642"/>
      <c r="AG115" s="671"/>
      <c r="AH115" s="635"/>
      <c r="AI115" s="672"/>
      <c r="AJ115" s="673"/>
      <c r="AK115" s="658">
        <f t="shared" si="16"/>
        <v>0</v>
      </c>
      <c r="AL115" s="635"/>
      <c r="AM115" s="653">
        <v>0</v>
      </c>
      <c r="AN115" s="653">
        <v>0</v>
      </c>
      <c r="AO115" s="653">
        <v>0</v>
      </c>
      <c r="AP115" s="650">
        <v>0.2036</v>
      </c>
      <c r="AQ115" s="652">
        <f t="shared" si="19"/>
        <v>0</v>
      </c>
      <c r="AR115" s="635"/>
      <c r="AS115" s="659">
        <f>SUM(AQ115,AK115,AA115,U115,O115,AC115,AE115,AG115)</f>
        <v>36.648000000000003</v>
      </c>
      <c r="AT115" s="643"/>
      <c r="AU115" s="567"/>
      <c r="AV115" s="567"/>
      <c r="AW115" s="567"/>
      <c r="AX115" s="567">
        <f t="shared" si="22"/>
        <v>36.648000000000003</v>
      </c>
      <c r="AY115" s="660"/>
      <c r="AZ115" s="631"/>
      <c r="BA115" s="490"/>
      <c r="BE115" s="480">
        <v>36.648000000000003</v>
      </c>
      <c r="BF115" s="570">
        <f t="shared" si="23"/>
        <v>0</v>
      </c>
      <c r="BH115" s="693" t="s">
        <v>826</v>
      </c>
    </row>
    <row r="116" spans="1:60" s="645" customFormat="1" ht="15" x14ac:dyDescent="0.25">
      <c r="A116" s="693" t="s">
        <v>591</v>
      </c>
      <c r="B116" s="686"/>
      <c r="C116" s="688" t="s">
        <v>293</v>
      </c>
      <c r="D116" s="635">
        <v>225750</v>
      </c>
      <c r="E116" s="663"/>
      <c r="F116" s="664"/>
      <c r="G116" s="551">
        <v>360</v>
      </c>
      <c r="H116" s="551">
        <v>630</v>
      </c>
      <c r="I116" s="551">
        <v>360</v>
      </c>
      <c r="J116" s="649">
        <f t="shared" si="21"/>
        <v>1350</v>
      </c>
      <c r="K116" s="668"/>
      <c r="L116" s="669">
        <f t="shared" si="14"/>
        <v>1350</v>
      </c>
      <c r="M116" s="668" t="s">
        <v>266</v>
      </c>
      <c r="N116" s="553">
        <v>3.6804985850845933</v>
      </c>
      <c r="O116" s="670">
        <f t="shared" si="15"/>
        <v>4969</v>
      </c>
      <c r="P116" s="640"/>
      <c r="Q116" s="653">
        <v>0</v>
      </c>
      <c r="R116" s="653">
        <v>0</v>
      </c>
      <c r="S116" s="653">
        <v>131.59421052631581</v>
      </c>
      <c r="T116" s="650">
        <v>0.2036</v>
      </c>
      <c r="U116" s="652">
        <f t="shared" si="17"/>
        <v>26.792581263157899</v>
      </c>
      <c r="V116" s="640"/>
      <c r="W116" s="653">
        <v>0</v>
      </c>
      <c r="X116" s="653">
        <v>0</v>
      </c>
      <c r="Y116" s="653">
        <v>0</v>
      </c>
      <c r="Z116" s="650">
        <v>1.7611399999999999</v>
      </c>
      <c r="AA116" s="654">
        <f t="shared" si="18"/>
        <v>0</v>
      </c>
      <c r="AB116" s="635"/>
      <c r="AC116" s="671"/>
      <c r="AD116" s="642"/>
      <c r="AE116" s="671"/>
      <c r="AF116" s="642"/>
      <c r="AG116" s="671"/>
      <c r="AH116" s="635"/>
      <c r="AI116" s="672"/>
      <c r="AJ116" s="673"/>
      <c r="AK116" s="658">
        <f t="shared" si="16"/>
        <v>0</v>
      </c>
      <c r="AL116" s="635"/>
      <c r="AM116" s="653">
        <v>0</v>
      </c>
      <c r="AN116" s="653">
        <v>0</v>
      </c>
      <c r="AO116" s="653">
        <v>0</v>
      </c>
      <c r="AP116" s="650">
        <v>0.2036</v>
      </c>
      <c r="AQ116" s="652">
        <f t="shared" si="19"/>
        <v>0</v>
      </c>
      <c r="AR116" s="635"/>
      <c r="AS116" s="659">
        <f>SUM(AQ116,AK116,AA116,U116,O116,AC116,AE116,AG116)</f>
        <v>4995.7925812631584</v>
      </c>
      <c r="AT116" s="643"/>
      <c r="AU116" s="567"/>
      <c r="AV116" s="567"/>
      <c r="AW116" s="567"/>
      <c r="AX116" s="567">
        <f t="shared" si="22"/>
        <v>4995.7925812631584</v>
      </c>
      <c r="AY116" s="660"/>
      <c r="AZ116" s="631"/>
      <c r="BA116" s="490"/>
      <c r="BE116" s="480">
        <v>26.792581263157899</v>
      </c>
      <c r="BF116" s="570">
        <f t="shared" si="23"/>
        <v>0</v>
      </c>
      <c r="BH116" s="693" t="s">
        <v>828</v>
      </c>
    </row>
    <row r="117" spans="1:60" s="645" customFormat="1" ht="15" x14ac:dyDescent="0.25">
      <c r="A117" s="489" t="s">
        <v>1396</v>
      </c>
      <c r="B117" s="489"/>
      <c r="C117" s="690" t="s">
        <v>830</v>
      </c>
      <c r="D117" s="635">
        <v>453657</v>
      </c>
      <c r="E117" s="663"/>
      <c r="F117" s="664"/>
      <c r="G117" s="551">
        <v>180</v>
      </c>
      <c r="H117" s="551">
        <v>0</v>
      </c>
      <c r="I117" s="551">
        <v>0</v>
      </c>
      <c r="J117" s="649">
        <f t="shared" si="21"/>
        <v>180</v>
      </c>
      <c r="K117" s="668"/>
      <c r="L117" s="669">
        <f t="shared" si="14"/>
        <v>180</v>
      </c>
      <c r="M117" s="668" t="s">
        <v>266</v>
      </c>
      <c r="N117" s="553">
        <v>3.6804985850845933</v>
      </c>
      <c r="O117" s="670">
        <f t="shared" si="15"/>
        <v>662</v>
      </c>
      <c r="P117" s="640"/>
      <c r="Q117" s="653">
        <v>180</v>
      </c>
      <c r="R117" s="653">
        <v>0</v>
      </c>
      <c r="S117" s="653">
        <v>0</v>
      </c>
      <c r="T117" s="650">
        <v>0.2036</v>
      </c>
      <c r="U117" s="652">
        <f t="shared" si="17"/>
        <v>36.648000000000003</v>
      </c>
      <c r="V117" s="640"/>
      <c r="W117" s="653">
        <v>0</v>
      </c>
      <c r="X117" s="653">
        <v>0</v>
      </c>
      <c r="Y117" s="653">
        <v>0</v>
      </c>
      <c r="Z117" s="650">
        <v>1.7611399999999999</v>
      </c>
      <c r="AA117" s="654">
        <f t="shared" si="18"/>
        <v>0</v>
      </c>
      <c r="AB117" s="635"/>
      <c r="AC117" s="671"/>
      <c r="AD117" s="642"/>
      <c r="AE117" s="671"/>
      <c r="AF117" s="642"/>
      <c r="AG117" s="671"/>
      <c r="AH117" s="635"/>
      <c r="AI117" s="672"/>
      <c r="AJ117" s="673"/>
      <c r="AK117" s="658">
        <f t="shared" si="16"/>
        <v>0</v>
      </c>
      <c r="AL117" s="635"/>
      <c r="AM117" s="653">
        <v>0</v>
      </c>
      <c r="AN117" s="653">
        <v>0</v>
      </c>
      <c r="AO117" s="653">
        <v>0</v>
      </c>
      <c r="AP117" s="650">
        <v>0.2036</v>
      </c>
      <c r="AQ117" s="652">
        <f t="shared" si="19"/>
        <v>0</v>
      </c>
      <c r="AR117" s="635"/>
      <c r="AS117" s="659">
        <f t="shared" ref="AS117:AS180" si="30">SUM(AQ117,AK117,AA117,U117,O117,AC117,AE117,AG117)</f>
        <v>698.64800000000002</v>
      </c>
      <c r="AT117" s="643"/>
      <c r="AU117" s="567"/>
      <c r="AV117" s="567"/>
      <c r="AW117" s="567"/>
      <c r="AX117" s="567">
        <f t="shared" si="22"/>
        <v>698.64800000000002</v>
      </c>
      <c r="AY117" s="660"/>
      <c r="AZ117" s="631"/>
      <c r="BA117" s="490"/>
      <c r="BE117" s="480">
        <v>36.648000000000003</v>
      </c>
      <c r="BF117" s="570">
        <f t="shared" si="23"/>
        <v>0</v>
      </c>
      <c r="BH117" s="489" t="s">
        <v>829</v>
      </c>
    </row>
    <row r="118" spans="1:60" s="645" customFormat="1" ht="15" x14ac:dyDescent="0.25">
      <c r="A118" s="702" t="s">
        <v>545</v>
      </c>
      <c r="B118" s="686"/>
      <c r="C118" s="688" t="s">
        <v>294</v>
      </c>
      <c r="D118" s="635">
        <v>360259</v>
      </c>
      <c r="E118" s="663"/>
      <c r="F118" s="664"/>
      <c r="G118" s="551">
        <v>0</v>
      </c>
      <c r="H118" s="551">
        <v>0</v>
      </c>
      <c r="I118" s="551">
        <v>0</v>
      </c>
      <c r="J118" s="649">
        <f t="shared" si="21"/>
        <v>0</v>
      </c>
      <c r="K118" s="668"/>
      <c r="L118" s="669">
        <f t="shared" si="14"/>
        <v>0</v>
      </c>
      <c r="M118" s="668" t="s">
        <v>266</v>
      </c>
      <c r="N118" s="553">
        <v>3.6804985850845933</v>
      </c>
      <c r="O118" s="670">
        <f t="shared" si="15"/>
        <v>0</v>
      </c>
      <c r="P118" s="640"/>
      <c r="Q118" s="653">
        <v>0</v>
      </c>
      <c r="R118" s="653">
        <v>0</v>
      </c>
      <c r="S118" s="653">
        <v>0</v>
      </c>
      <c r="T118" s="650">
        <v>0.2036</v>
      </c>
      <c r="U118" s="652">
        <f t="shared" si="17"/>
        <v>0</v>
      </c>
      <c r="V118" s="640"/>
      <c r="W118" s="653">
        <v>0</v>
      </c>
      <c r="X118" s="653">
        <v>0</v>
      </c>
      <c r="Y118" s="653">
        <v>0</v>
      </c>
      <c r="Z118" s="650">
        <v>1.7611399999999999</v>
      </c>
      <c r="AA118" s="654">
        <f t="shared" si="18"/>
        <v>0</v>
      </c>
      <c r="AB118" s="635"/>
      <c r="AC118" s="671"/>
      <c r="AD118" s="642"/>
      <c r="AE118" s="671"/>
      <c r="AF118" s="642"/>
      <c r="AG118" s="671"/>
      <c r="AH118" s="635"/>
      <c r="AI118" s="672"/>
      <c r="AJ118" s="673"/>
      <c r="AK118" s="658">
        <f t="shared" si="16"/>
        <v>0</v>
      </c>
      <c r="AL118" s="635"/>
      <c r="AM118" s="653">
        <v>0</v>
      </c>
      <c r="AN118" s="653">
        <v>0</v>
      </c>
      <c r="AO118" s="653">
        <v>0</v>
      </c>
      <c r="AP118" s="650">
        <v>0.2036</v>
      </c>
      <c r="AQ118" s="652">
        <f t="shared" si="19"/>
        <v>0</v>
      </c>
      <c r="AR118" s="635"/>
      <c r="AS118" s="659">
        <f t="shared" si="30"/>
        <v>0</v>
      </c>
      <c r="AT118" s="643"/>
      <c r="AU118" s="567"/>
      <c r="AV118" s="567"/>
      <c r="AW118" s="567"/>
      <c r="AX118" s="567">
        <f t="shared" si="22"/>
        <v>0</v>
      </c>
      <c r="AY118" s="660"/>
      <c r="AZ118" s="631"/>
      <c r="BA118" s="490"/>
      <c r="BE118" s="480">
        <v>0</v>
      </c>
      <c r="BF118" s="570">
        <f t="shared" si="23"/>
        <v>0</v>
      </c>
      <c r="BH118" s="702" t="s">
        <v>831</v>
      </c>
    </row>
    <row r="119" spans="1:60" s="645" customFormat="1" ht="15" x14ac:dyDescent="0.25">
      <c r="A119" s="692" t="s">
        <v>1402</v>
      </c>
      <c r="B119" s="686"/>
      <c r="C119" s="662" t="s">
        <v>833</v>
      </c>
      <c r="D119" s="635">
        <v>393682</v>
      </c>
      <c r="E119" s="663"/>
      <c r="F119" s="664"/>
      <c r="G119" s="551">
        <v>180</v>
      </c>
      <c r="H119" s="551">
        <v>0</v>
      </c>
      <c r="I119" s="551">
        <v>180</v>
      </c>
      <c r="J119" s="649">
        <f t="shared" si="21"/>
        <v>360</v>
      </c>
      <c r="K119" s="668"/>
      <c r="L119" s="669">
        <f t="shared" si="14"/>
        <v>360</v>
      </c>
      <c r="M119" s="668" t="s">
        <v>266</v>
      </c>
      <c r="N119" s="553">
        <v>3.6804985850845933</v>
      </c>
      <c r="O119" s="670">
        <f t="shared" si="15"/>
        <v>1325</v>
      </c>
      <c r="P119" s="640"/>
      <c r="Q119" s="653">
        <v>0</v>
      </c>
      <c r="R119" s="653">
        <v>0</v>
      </c>
      <c r="S119" s="653">
        <v>0</v>
      </c>
      <c r="T119" s="650">
        <v>0.2036</v>
      </c>
      <c r="U119" s="652">
        <f t="shared" si="17"/>
        <v>0</v>
      </c>
      <c r="V119" s="640"/>
      <c r="W119" s="653">
        <v>0</v>
      </c>
      <c r="X119" s="653">
        <v>0</v>
      </c>
      <c r="Y119" s="653">
        <v>0</v>
      </c>
      <c r="Z119" s="650">
        <v>1.7611399999999999</v>
      </c>
      <c r="AA119" s="654">
        <f t="shared" si="18"/>
        <v>0</v>
      </c>
      <c r="AB119" s="635"/>
      <c r="AC119" s="671"/>
      <c r="AD119" s="642"/>
      <c r="AE119" s="671"/>
      <c r="AF119" s="642"/>
      <c r="AG119" s="671"/>
      <c r="AH119" s="635"/>
      <c r="AI119" s="672"/>
      <c r="AJ119" s="673"/>
      <c r="AK119" s="658">
        <f t="shared" si="16"/>
        <v>0</v>
      </c>
      <c r="AL119" s="635"/>
      <c r="AM119" s="653">
        <v>180</v>
      </c>
      <c r="AN119" s="653">
        <v>0</v>
      </c>
      <c r="AO119" s="653">
        <v>180</v>
      </c>
      <c r="AP119" s="650">
        <v>0.2036</v>
      </c>
      <c r="AQ119" s="652">
        <f t="shared" si="19"/>
        <v>73.296000000000006</v>
      </c>
      <c r="AR119" s="635"/>
      <c r="AS119" s="659">
        <f t="shared" si="30"/>
        <v>1398.296</v>
      </c>
      <c r="AT119" s="643"/>
      <c r="AU119" s="567"/>
      <c r="AV119" s="567"/>
      <c r="AW119" s="567"/>
      <c r="AX119" s="567">
        <f t="shared" si="22"/>
        <v>1398.296</v>
      </c>
      <c r="AY119" s="660"/>
      <c r="AZ119" s="631"/>
      <c r="BA119" s="490"/>
      <c r="BE119" s="480">
        <v>0</v>
      </c>
      <c r="BF119" s="570">
        <f t="shared" si="23"/>
        <v>0</v>
      </c>
      <c r="BH119" s="692" t="s">
        <v>832</v>
      </c>
    </row>
    <row r="120" spans="1:60" s="645" customFormat="1" ht="15" x14ac:dyDescent="0.25">
      <c r="A120" s="692" t="s">
        <v>1403</v>
      </c>
      <c r="B120" s="686"/>
      <c r="C120" s="690" t="s">
        <v>835</v>
      </c>
      <c r="D120" s="635">
        <v>395288</v>
      </c>
      <c r="E120" s="663"/>
      <c r="F120" s="664"/>
      <c r="G120" s="551">
        <v>360</v>
      </c>
      <c r="H120" s="551">
        <v>420</v>
      </c>
      <c r="I120" s="551">
        <v>360</v>
      </c>
      <c r="J120" s="649">
        <f t="shared" si="21"/>
        <v>1140</v>
      </c>
      <c r="K120" s="668"/>
      <c r="L120" s="669">
        <f t="shared" si="14"/>
        <v>1140</v>
      </c>
      <c r="M120" s="668" t="s">
        <v>266</v>
      </c>
      <c r="N120" s="553">
        <v>3.6804985850845933</v>
      </c>
      <c r="O120" s="670">
        <f t="shared" si="15"/>
        <v>4196</v>
      </c>
      <c r="P120" s="640"/>
      <c r="Q120" s="653">
        <v>0</v>
      </c>
      <c r="R120" s="653">
        <v>0</v>
      </c>
      <c r="S120" s="653">
        <v>0</v>
      </c>
      <c r="T120" s="650">
        <v>0.2036</v>
      </c>
      <c r="U120" s="652">
        <f t="shared" si="17"/>
        <v>0</v>
      </c>
      <c r="V120" s="640"/>
      <c r="W120" s="653">
        <v>0</v>
      </c>
      <c r="X120" s="653">
        <v>0</v>
      </c>
      <c r="Y120" s="653">
        <v>0</v>
      </c>
      <c r="Z120" s="650">
        <v>1.7611399999999999</v>
      </c>
      <c r="AA120" s="654">
        <f t="shared" si="18"/>
        <v>0</v>
      </c>
      <c r="AB120" s="635"/>
      <c r="AC120" s="671"/>
      <c r="AD120" s="642"/>
      <c r="AE120" s="671"/>
      <c r="AF120" s="642"/>
      <c r="AG120" s="671"/>
      <c r="AH120" s="635"/>
      <c r="AI120" s="672"/>
      <c r="AJ120" s="673"/>
      <c r="AK120" s="658">
        <f t="shared" si="16"/>
        <v>0</v>
      </c>
      <c r="AL120" s="635"/>
      <c r="AM120" s="653">
        <v>0</v>
      </c>
      <c r="AN120" s="653">
        <v>0</v>
      </c>
      <c r="AO120" s="653">
        <v>0</v>
      </c>
      <c r="AP120" s="650">
        <v>0.2036</v>
      </c>
      <c r="AQ120" s="652">
        <f t="shared" si="19"/>
        <v>0</v>
      </c>
      <c r="AR120" s="635"/>
      <c r="AS120" s="659">
        <f t="shared" si="30"/>
        <v>4196</v>
      </c>
      <c r="AT120" s="643"/>
      <c r="AU120" s="567"/>
      <c r="AV120" s="567"/>
      <c r="AW120" s="567"/>
      <c r="AX120" s="567">
        <f t="shared" si="22"/>
        <v>4196</v>
      </c>
      <c r="AY120" s="660"/>
      <c r="AZ120" s="631"/>
      <c r="BA120" s="490"/>
      <c r="BE120" s="480">
        <v>0</v>
      </c>
      <c r="BF120" s="570">
        <f t="shared" si="23"/>
        <v>0</v>
      </c>
      <c r="BH120" s="692" t="s">
        <v>834</v>
      </c>
    </row>
    <row r="121" spans="1:60" s="645" customFormat="1" ht="15" x14ac:dyDescent="0.25">
      <c r="A121" s="685" t="s">
        <v>546</v>
      </c>
      <c r="B121" s="686"/>
      <c r="C121" s="688" t="s">
        <v>296</v>
      </c>
      <c r="D121" s="635">
        <v>278371</v>
      </c>
      <c r="E121" s="663"/>
      <c r="F121" s="664"/>
      <c r="G121" s="551">
        <v>132</v>
      </c>
      <c r="H121" s="551">
        <v>154</v>
      </c>
      <c r="I121" s="551">
        <v>132</v>
      </c>
      <c r="J121" s="649">
        <f t="shared" si="21"/>
        <v>418</v>
      </c>
      <c r="K121" s="668"/>
      <c r="L121" s="669">
        <f t="shared" si="14"/>
        <v>418</v>
      </c>
      <c r="M121" s="668" t="s">
        <v>266</v>
      </c>
      <c r="N121" s="553">
        <v>3.6804985850845933</v>
      </c>
      <c r="O121" s="670">
        <f t="shared" si="15"/>
        <v>1538</v>
      </c>
      <c r="P121" s="640"/>
      <c r="Q121" s="653">
        <v>0</v>
      </c>
      <c r="R121" s="653">
        <v>0</v>
      </c>
      <c r="S121" s="653">
        <v>182.20736842105262</v>
      </c>
      <c r="T121" s="650">
        <v>0.2036</v>
      </c>
      <c r="U121" s="652">
        <f t="shared" si="17"/>
        <v>37.097420210526316</v>
      </c>
      <c r="V121" s="640"/>
      <c r="W121" s="653">
        <v>0</v>
      </c>
      <c r="X121" s="653">
        <v>0</v>
      </c>
      <c r="Y121" s="653">
        <v>0</v>
      </c>
      <c r="Z121" s="650">
        <v>1.7611399999999999</v>
      </c>
      <c r="AA121" s="654">
        <f t="shared" si="18"/>
        <v>0</v>
      </c>
      <c r="AB121" s="635"/>
      <c r="AC121" s="671"/>
      <c r="AD121" s="642"/>
      <c r="AE121" s="671"/>
      <c r="AF121" s="642"/>
      <c r="AG121" s="671"/>
      <c r="AH121" s="635"/>
      <c r="AI121" s="672"/>
      <c r="AJ121" s="673"/>
      <c r="AK121" s="658">
        <f t="shared" si="16"/>
        <v>0</v>
      </c>
      <c r="AL121" s="635"/>
      <c r="AM121" s="653">
        <v>0</v>
      </c>
      <c r="AN121" s="653">
        <v>0</v>
      </c>
      <c r="AO121" s="653">
        <v>0</v>
      </c>
      <c r="AP121" s="650">
        <v>0.2036</v>
      </c>
      <c r="AQ121" s="652">
        <f t="shared" si="19"/>
        <v>0</v>
      </c>
      <c r="AR121" s="635"/>
      <c r="AS121" s="659">
        <f t="shared" si="30"/>
        <v>1575.0974202105263</v>
      </c>
      <c r="AT121" s="643"/>
      <c r="AU121" s="567"/>
      <c r="AV121" s="567"/>
      <c r="AW121" s="567"/>
      <c r="AX121" s="567">
        <f t="shared" si="22"/>
        <v>1575.0974202105263</v>
      </c>
      <c r="AY121" s="660"/>
      <c r="AZ121" s="631"/>
      <c r="BA121" s="490"/>
      <c r="BE121" s="480">
        <v>37.097420210526316</v>
      </c>
      <c r="BF121" s="570">
        <f t="shared" si="23"/>
        <v>0</v>
      </c>
      <c r="BH121" s="685" t="s">
        <v>836</v>
      </c>
    </row>
    <row r="122" spans="1:60" s="645" customFormat="1" ht="15" x14ac:dyDescent="0.25">
      <c r="A122" s="685" t="s">
        <v>547</v>
      </c>
      <c r="B122" s="686"/>
      <c r="C122" s="688" t="s">
        <v>295</v>
      </c>
      <c r="D122" s="635">
        <v>268223</v>
      </c>
      <c r="E122" s="663"/>
      <c r="F122" s="664"/>
      <c r="G122" s="551">
        <v>0</v>
      </c>
      <c r="H122" s="551">
        <v>0</v>
      </c>
      <c r="I122" s="551">
        <v>0</v>
      </c>
      <c r="J122" s="649">
        <f t="shared" si="21"/>
        <v>0</v>
      </c>
      <c r="K122" s="668"/>
      <c r="L122" s="669">
        <f t="shared" si="14"/>
        <v>0</v>
      </c>
      <c r="M122" s="668" t="s">
        <v>266</v>
      </c>
      <c r="N122" s="553">
        <v>3.6804985850845933</v>
      </c>
      <c r="O122" s="670">
        <f t="shared" si="15"/>
        <v>0</v>
      </c>
      <c r="P122" s="640"/>
      <c r="Q122" s="653">
        <v>540</v>
      </c>
      <c r="R122" s="653">
        <v>0</v>
      </c>
      <c r="S122" s="653">
        <v>182.20736842105262</v>
      </c>
      <c r="T122" s="650">
        <v>0.2036</v>
      </c>
      <c r="U122" s="652">
        <f t="shared" si="17"/>
        <v>147.0414202105263</v>
      </c>
      <c r="V122" s="640"/>
      <c r="W122" s="653">
        <v>0</v>
      </c>
      <c r="X122" s="653">
        <v>0</v>
      </c>
      <c r="Y122" s="653">
        <v>0</v>
      </c>
      <c r="Z122" s="650">
        <v>1.7611399999999999</v>
      </c>
      <c r="AA122" s="654">
        <f t="shared" si="18"/>
        <v>0</v>
      </c>
      <c r="AB122" s="635"/>
      <c r="AC122" s="671"/>
      <c r="AD122" s="642"/>
      <c r="AE122" s="671"/>
      <c r="AF122" s="642"/>
      <c r="AG122" s="671"/>
      <c r="AH122" s="635"/>
      <c r="AI122" s="672"/>
      <c r="AJ122" s="673"/>
      <c r="AK122" s="658">
        <f t="shared" si="16"/>
        <v>0</v>
      </c>
      <c r="AL122" s="635"/>
      <c r="AM122" s="653">
        <v>0</v>
      </c>
      <c r="AN122" s="653">
        <v>0</v>
      </c>
      <c r="AO122" s="653">
        <v>0</v>
      </c>
      <c r="AP122" s="650">
        <v>0.2036</v>
      </c>
      <c r="AQ122" s="652">
        <f t="shared" si="19"/>
        <v>0</v>
      </c>
      <c r="AR122" s="635"/>
      <c r="AS122" s="659">
        <f t="shared" si="30"/>
        <v>147.0414202105263</v>
      </c>
      <c r="AT122" s="643"/>
      <c r="AU122" s="567"/>
      <c r="AV122" s="567"/>
      <c r="AW122" s="567"/>
      <c r="AX122" s="567">
        <f t="shared" si="22"/>
        <v>147.0414202105263</v>
      </c>
      <c r="AY122" s="660"/>
      <c r="AZ122" s="631"/>
      <c r="BA122" s="490"/>
      <c r="BE122" s="480">
        <v>147.0414202105263</v>
      </c>
      <c r="BF122" s="570">
        <f t="shared" si="23"/>
        <v>0</v>
      </c>
      <c r="BH122" s="685" t="s">
        <v>837</v>
      </c>
    </row>
    <row r="123" spans="1:60" s="645" customFormat="1" ht="15" x14ac:dyDescent="0.25">
      <c r="A123" s="695" t="s">
        <v>546</v>
      </c>
      <c r="B123" s="704"/>
      <c r="C123" s="690">
        <v>206031</v>
      </c>
      <c r="D123" s="635">
        <v>206031</v>
      </c>
      <c r="E123" s="663"/>
      <c r="F123" s="664"/>
      <c r="G123" s="551">
        <v>540</v>
      </c>
      <c r="H123" s="551">
        <v>630</v>
      </c>
      <c r="I123" s="551">
        <v>540</v>
      </c>
      <c r="J123" s="649">
        <f t="shared" si="21"/>
        <v>1710</v>
      </c>
      <c r="K123" s="668"/>
      <c r="L123" s="669">
        <f t="shared" si="14"/>
        <v>1710</v>
      </c>
      <c r="M123" s="668" t="s">
        <v>266</v>
      </c>
      <c r="N123" s="553">
        <v>3.6804985850845933</v>
      </c>
      <c r="O123" s="670">
        <f t="shared" si="15"/>
        <v>6294</v>
      </c>
      <c r="P123" s="640"/>
      <c r="Q123" s="653">
        <v>0</v>
      </c>
      <c r="R123" s="653">
        <v>0</v>
      </c>
      <c r="S123" s="653">
        <v>360</v>
      </c>
      <c r="T123" s="650">
        <v>0.2036</v>
      </c>
      <c r="U123" s="652">
        <f t="shared" si="17"/>
        <v>73.296000000000006</v>
      </c>
      <c r="V123" s="640"/>
      <c r="W123" s="653">
        <v>0</v>
      </c>
      <c r="X123" s="653">
        <v>0</v>
      </c>
      <c r="Y123" s="653">
        <v>0</v>
      </c>
      <c r="Z123" s="650">
        <v>1.7611399999999999</v>
      </c>
      <c r="AA123" s="654">
        <f t="shared" si="18"/>
        <v>0</v>
      </c>
      <c r="AB123" s="635"/>
      <c r="AC123" s="671"/>
      <c r="AD123" s="642"/>
      <c r="AE123" s="671"/>
      <c r="AF123" s="642"/>
      <c r="AG123" s="671"/>
      <c r="AH123" s="635"/>
      <c r="AI123" s="672"/>
      <c r="AJ123" s="673"/>
      <c r="AK123" s="658">
        <f t="shared" si="16"/>
        <v>0</v>
      </c>
      <c r="AL123" s="635"/>
      <c r="AM123" s="653">
        <v>0</v>
      </c>
      <c r="AN123" s="653">
        <v>0</v>
      </c>
      <c r="AO123" s="653">
        <v>0</v>
      </c>
      <c r="AP123" s="650">
        <v>0.2036</v>
      </c>
      <c r="AQ123" s="652">
        <f t="shared" si="19"/>
        <v>0</v>
      </c>
      <c r="AR123" s="635"/>
      <c r="AS123" s="659">
        <f t="shared" si="30"/>
        <v>6367.2960000000003</v>
      </c>
      <c r="AT123" s="643"/>
      <c r="AU123" s="567"/>
      <c r="AV123" s="567"/>
      <c r="AW123" s="567"/>
      <c r="AX123" s="567">
        <f t="shared" si="22"/>
        <v>6367.2960000000003</v>
      </c>
      <c r="AY123" s="660"/>
      <c r="AZ123" s="631"/>
      <c r="BA123" s="490"/>
      <c r="BE123" s="480">
        <v>73.296000000000006</v>
      </c>
      <c r="BF123" s="570">
        <f t="shared" si="23"/>
        <v>0</v>
      </c>
      <c r="BH123" s="695" t="s">
        <v>838</v>
      </c>
    </row>
    <row r="124" spans="1:60" s="645" customFormat="1" ht="15" x14ac:dyDescent="0.25">
      <c r="A124" s="693" t="s">
        <v>1398</v>
      </c>
      <c r="B124" s="705"/>
      <c r="C124" s="690" t="s">
        <v>840</v>
      </c>
      <c r="D124" s="635">
        <v>406938</v>
      </c>
      <c r="E124" s="663"/>
      <c r="F124" s="664"/>
      <c r="G124" s="551">
        <v>144</v>
      </c>
      <c r="H124" s="551">
        <v>168</v>
      </c>
      <c r="I124" s="551">
        <v>144</v>
      </c>
      <c r="J124" s="649">
        <f t="shared" si="21"/>
        <v>456</v>
      </c>
      <c r="K124" s="668"/>
      <c r="L124" s="669">
        <f t="shared" si="14"/>
        <v>456</v>
      </c>
      <c r="M124" s="668" t="s">
        <v>266</v>
      </c>
      <c r="N124" s="553">
        <v>3.6804985850845933</v>
      </c>
      <c r="O124" s="670">
        <f t="shared" si="15"/>
        <v>1678</v>
      </c>
      <c r="P124" s="640"/>
      <c r="Q124" s="653">
        <v>0</v>
      </c>
      <c r="R124" s="653">
        <v>0</v>
      </c>
      <c r="S124" s="653">
        <v>0</v>
      </c>
      <c r="T124" s="650">
        <v>0.2036</v>
      </c>
      <c r="U124" s="652">
        <f t="shared" si="17"/>
        <v>0</v>
      </c>
      <c r="V124" s="640"/>
      <c r="W124" s="653">
        <v>0</v>
      </c>
      <c r="X124" s="653">
        <v>0</v>
      </c>
      <c r="Y124" s="653">
        <v>0</v>
      </c>
      <c r="Z124" s="650">
        <v>1.7611399999999999</v>
      </c>
      <c r="AA124" s="654">
        <f t="shared" si="18"/>
        <v>0</v>
      </c>
      <c r="AB124" s="635"/>
      <c r="AC124" s="671"/>
      <c r="AD124" s="642"/>
      <c r="AE124" s="671"/>
      <c r="AF124" s="642"/>
      <c r="AG124" s="671"/>
      <c r="AH124" s="635"/>
      <c r="AI124" s="672"/>
      <c r="AJ124" s="673"/>
      <c r="AK124" s="658">
        <f t="shared" si="16"/>
        <v>0</v>
      </c>
      <c r="AL124" s="635"/>
      <c r="AM124" s="653">
        <v>0</v>
      </c>
      <c r="AN124" s="653">
        <v>0</v>
      </c>
      <c r="AO124" s="653">
        <v>0</v>
      </c>
      <c r="AP124" s="650">
        <v>0.2036</v>
      </c>
      <c r="AQ124" s="652">
        <f t="shared" si="19"/>
        <v>0</v>
      </c>
      <c r="AR124" s="635"/>
      <c r="AS124" s="659">
        <f t="shared" si="30"/>
        <v>1678</v>
      </c>
      <c r="AT124" s="643"/>
      <c r="AU124" s="567"/>
      <c r="AV124" s="567"/>
      <c r="AW124" s="567"/>
      <c r="AX124" s="567">
        <f t="shared" si="22"/>
        <v>1678</v>
      </c>
      <c r="AY124" s="660"/>
      <c r="AZ124" s="631"/>
      <c r="BA124" s="490"/>
      <c r="BE124" s="480">
        <v>0</v>
      </c>
      <c r="BF124" s="570">
        <f t="shared" si="23"/>
        <v>0</v>
      </c>
      <c r="BH124" s="693" t="s">
        <v>839</v>
      </c>
    </row>
    <row r="125" spans="1:60" s="645" customFormat="1" ht="15" x14ac:dyDescent="0.25">
      <c r="A125" s="693" t="s">
        <v>1406</v>
      </c>
      <c r="B125" s="489"/>
      <c r="C125" s="690">
        <v>206067</v>
      </c>
      <c r="D125" s="635">
        <v>206067</v>
      </c>
      <c r="E125" s="663"/>
      <c r="F125" s="664"/>
      <c r="G125" s="551">
        <v>180</v>
      </c>
      <c r="H125" s="551">
        <v>210</v>
      </c>
      <c r="I125" s="551">
        <v>180</v>
      </c>
      <c r="J125" s="649">
        <f t="shared" si="21"/>
        <v>570</v>
      </c>
      <c r="K125" s="668"/>
      <c r="L125" s="669">
        <f t="shared" si="14"/>
        <v>570</v>
      </c>
      <c r="M125" s="668" t="s">
        <v>266</v>
      </c>
      <c r="N125" s="553">
        <v>3.6804985850845933</v>
      </c>
      <c r="O125" s="670">
        <f t="shared" si="15"/>
        <v>2098</v>
      </c>
      <c r="P125" s="640"/>
      <c r="Q125" s="653">
        <v>0</v>
      </c>
      <c r="R125" s="653">
        <v>0</v>
      </c>
      <c r="S125" s="653">
        <v>0</v>
      </c>
      <c r="T125" s="650">
        <v>0.2036</v>
      </c>
      <c r="U125" s="652">
        <f t="shared" si="17"/>
        <v>0</v>
      </c>
      <c r="V125" s="640"/>
      <c r="W125" s="653">
        <v>0</v>
      </c>
      <c r="X125" s="653">
        <v>0</v>
      </c>
      <c r="Y125" s="653">
        <v>0</v>
      </c>
      <c r="Z125" s="650">
        <v>1.7611399999999999</v>
      </c>
      <c r="AA125" s="654">
        <f t="shared" si="18"/>
        <v>0</v>
      </c>
      <c r="AB125" s="635"/>
      <c r="AC125" s="671"/>
      <c r="AD125" s="642"/>
      <c r="AE125" s="671"/>
      <c r="AF125" s="642"/>
      <c r="AG125" s="671"/>
      <c r="AH125" s="635"/>
      <c r="AI125" s="672"/>
      <c r="AJ125" s="673"/>
      <c r="AK125" s="658">
        <f t="shared" si="16"/>
        <v>0</v>
      </c>
      <c r="AL125" s="635"/>
      <c r="AM125" s="653">
        <v>180</v>
      </c>
      <c r="AN125" s="653">
        <v>0</v>
      </c>
      <c r="AO125" s="653">
        <v>180</v>
      </c>
      <c r="AP125" s="650">
        <v>0.2036</v>
      </c>
      <c r="AQ125" s="652">
        <f t="shared" si="19"/>
        <v>73.296000000000006</v>
      </c>
      <c r="AR125" s="635"/>
      <c r="AS125" s="659">
        <f t="shared" si="30"/>
        <v>2171.2959999999998</v>
      </c>
      <c r="AT125" s="643"/>
      <c r="AU125" s="567"/>
      <c r="AV125" s="567"/>
      <c r="AW125" s="567"/>
      <c r="AX125" s="567">
        <f t="shared" si="22"/>
        <v>2171.2959999999998</v>
      </c>
      <c r="AY125" s="660"/>
      <c r="AZ125" s="631"/>
      <c r="BA125" s="490"/>
      <c r="BE125" s="480">
        <v>0</v>
      </c>
      <c r="BF125" s="570">
        <f t="shared" si="23"/>
        <v>0</v>
      </c>
      <c r="BH125" s="693" t="s">
        <v>841</v>
      </c>
    </row>
    <row r="126" spans="1:60" s="645" customFormat="1" ht="15" x14ac:dyDescent="0.25">
      <c r="A126" s="702" t="s">
        <v>590</v>
      </c>
      <c r="B126" s="706"/>
      <c r="C126" s="690" t="s">
        <v>292</v>
      </c>
      <c r="D126" s="635">
        <v>205978</v>
      </c>
      <c r="E126" s="663"/>
      <c r="F126" s="664"/>
      <c r="G126" s="551">
        <v>1620</v>
      </c>
      <c r="H126" s="551">
        <v>1260</v>
      </c>
      <c r="I126" s="551">
        <v>1620</v>
      </c>
      <c r="J126" s="649">
        <f t="shared" si="21"/>
        <v>4500</v>
      </c>
      <c r="K126" s="668"/>
      <c r="L126" s="669">
        <f t="shared" si="14"/>
        <v>4500</v>
      </c>
      <c r="M126" s="668" t="s">
        <v>266</v>
      </c>
      <c r="N126" s="553">
        <v>3.6804985850845933</v>
      </c>
      <c r="O126" s="670">
        <f t="shared" si="15"/>
        <v>16562</v>
      </c>
      <c r="P126" s="640"/>
      <c r="Q126" s="653">
        <v>540</v>
      </c>
      <c r="R126" s="653">
        <v>840</v>
      </c>
      <c r="S126" s="653">
        <v>180</v>
      </c>
      <c r="T126" s="650">
        <v>0.2036</v>
      </c>
      <c r="U126" s="652">
        <f t="shared" ref="U126:U189" si="31">SUM(Q126+R126+S126)*T126</f>
        <v>317.61599999999999</v>
      </c>
      <c r="V126" s="640"/>
      <c r="W126" s="653">
        <v>0</v>
      </c>
      <c r="X126" s="653">
        <v>0</v>
      </c>
      <c r="Y126" s="653">
        <v>0</v>
      </c>
      <c r="Z126" s="650">
        <v>1.7611399999999999</v>
      </c>
      <c r="AA126" s="654">
        <f t="shared" ref="AA126:AA189" si="32">SUM(W126+X126+Y126)*Z126</f>
        <v>0</v>
      </c>
      <c r="AB126" s="635"/>
      <c r="AC126" s="671"/>
      <c r="AD126" s="642"/>
      <c r="AE126" s="671"/>
      <c r="AF126" s="642"/>
      <c r="AG126" s="671"/>
      <c r="AH126" s="635"/>
      <c r="AI126" s="672"/>
      <c r="AJ126" s="673"/>
      <c r="AK126" s="658">
        <f t="shared" si="16"/>
        <v>0</v>
      </c>
      <c r="AL126" s="635"/>
      <c r="AM126" s="653">
        <v>0</v>
      </c>
      <c r="AN126" s="653">
        <v>0</v>
      </c>
      <c r="AO126" s="653">
        <v>0</v>
      </c>
      <c r="AP126" s="650">
        <v>0.2036</v>
      </c>
      <c r="AQ126" s="652">
        <f t="shared" ref="AQ126:AQ189" si="33">SUM(AM126+AN126+AO126)*AP126</f>
        <v>0</v>
      </c>
      <c r="AR126" s="635"/>
      <c r="AS126" s="659">
        <f t="shared" si="30"/>
        <v>16879.616000000002</v>
      </c>
      <c r="AT126" s="643"/>
      <c r="AU126" s="567"/>
      <c r="AV126" s="567"/>
      <c r="AW126" s="567"/>
      <c r="AX126" s="567">
        <f t="shared" si="22"/>
        <v>16879.616000000002</v>
      </c>
      <c r="AY126" s="660"/>
      <c r="AZ126" s="631"/>
      <c r="BA126" s="490"/>
      <c r="BE126" s="480">
        <v>317.61599999999999</v>
      </c>
      <c r="BF126" s="570">
        <f t="shared" si="23"/>
        <v>0</v>
      </c>
      <c r="BH126" s="702" t="s">
        <v>842</v>
      </c>
    </row>
    <row r="127" spans="1:60" s="645" customFormat="1" ht="15" x14ac:dyDescent="0.25">
      <c r="A127" s="693" t="s">
        <v>1407</v>
      </c>
      <c r="B127" s="489"/>
      <c r="C127" s="584" t="s">
        <v>844</v>
      </c>
      <c r="D127" s="635" t="s">
        <v>844</v>
      </c>
      <c r="E127" s="663"/>
      <c r="F127" s="664"/>
      <c r="G127" s="551">
        <v>468</v>
      </c>
      <c r="H127" s="551">
        <v>336</v>
      </c>
      <c r="I127" s="551">
        <v>288</v>
      </c>
      <c r="J127" s="649">
        <f t="shared" si="21"/>
        <v>1092</v>
      </c>
      <c r="K127" s="668"/>
      <c r="L127" s="669">
        <f t="shared" si="14"/>
        <v>1092</v>
      </c>
      <c r="M127" s="668" t="s">
        <v>266</v>
      </c>
      <c r="N127" s="553">
        <v>3.6804985850845933</v>
      </c>
      <c r="O127" s="670">
        <f t="shared" si="15"/>
        <v>4019</v>
      </c>
      <c r="P127" s="640"/>
      <c r="Q127" s="653">
        <v>0</v>
      </c>
      <c r="R127" s="653">
        <v>0</v>
      </c>
      <c r="S127" s="653">
        <v>0</v>
      </c>
      <c r="T127" s="650">
        <v>0.2036</v>
      </c>
      <c r="U127" s="652">
        <f t="shared" si="31"/>
        <v>0</v>
      </c>
      <c r="V127" s="640"/>
      <c r="W127" s="653">
        <v>0</v>
      </c>
      <c r="X127" s="653">
        <v>0</v>
      </c>
      <c r="Y127" s="653">
        <v>0</v>
      </c>
      <c r="Z127" s="650">
        <v>1.7611399999999999</v>
      </c>
      <c r="AA127" s="654">
        <f t="shared" si="32"/>
        <v>0</v>
      </c>
      <c r="AB127" s="635"/>
      <c r="AC127" s="671"/>
      <c r="AD127" s="642"/>
      <c r="AE127" s="671"/>
      <c r="AF127" s="642"/>
      <c r="AG127" s="671"/>
      <c r="AH127" s="635"/>
      <c r="AI127" s="672"/>
      <c r="AJ127" s="673"/>
      <c r="AK127" s="658">
        <f t="shared" si="16"/>
        <v>0</v>
      </c>
      <c r="AL127" s="635"/>
      <c r="AM127" s="653">
        <v>0</v>
      </c>
      <c r="AN127" s="653">
        <v>0</v>
      </c>
      <c r="AO127" s="653">
        <v>0</v>
      </c>
      <c r="AP127" s="650">
        <v>0.2036</v>
      </c>
      <c r="AQ127" s="652">
        <f t="shared" si="33"/>
        <v>0</v>
      </c>
      <c r="AR127" s="635"/>
      <c r="AS127" s="659">
        <f t="shared" si="30"/>
        <v>4019</v>
      </c>
      <c r="AT127" s="643"/>
      <c r="AU127" s="567"/>
      <c r="AV127" s="567"/>
      <c r="AW127" s="567"/>
      <c r="AX127" s="567">
        <f t="shared" si="22"/>
        <v>4019</v>
      </c>
      <c r="AY127" s="660"/>
      <c r="AZ127" s="631"/>
      <c r="BA127" s="490"/>
      <c r="BE127" s="480">
        <v>0</v>
      </c>
      <c r="BF127" s="570">
        <f t="shared" si="23"/>
        <v>0</v>
      </c>
      <c r="BH127" s="693" t="s">
        <v>843</v>
      </c>
    </row>
    <row r="128" spans="1:60" s="645" customFormat="1" ht="15" x14ac:dyDescent="0.25">
      <c r="A128" s="693" t="s">
        <v>592</v>
      </c>
      <c r="B128" s="686"/>
      <c r="C128" s="688">
        <v>206043</v>
      </c>
      <c r="D128" s="635">
        <v>206043</v>
      </c>
      <c r="E128" s="663"/>
      <c r="F128" s="664"/>
      <c r="G128" s="551">
        <v>348</v>
      </c>
      <c r="H128" s="551">
        <v>240</v>
      </c>
      <c r="I128" s="551">
        <v>72</v>
      </c>
      <c r="J128" s="649">
        <f t="shared" si="21"/>
        <v>660</v>
      </c>
      <c r="K128" s="668"/>
      <c r="L128" s="669">
        <f t="shared" si="14"/>
        <v>660</v>
      </c>
      <c r="M128" s="668" t="s">
        <v>266</v>
      </c>
      <c r="N128" s="553">
        <v>3.6804985850845933</v>
      </c>
      <c r="O128" s="670">
        <f t="shared" si="15"/>
        <v>2429</v>
      </c>
      <c r="P128" s="640"/>
      <c r="Q128" s="653">
        <v>0</v>
      </c>
      <c r="R128" s="653">
        <v>0</v>
      </c>
      <c r="S128" s="653">
        <v>121.47157894736841</v>
      </c>
      <c r="T128" s="650">
        <v>0.2036</v>
      </c>
      <c r="U128" s="652">
        <f t="shared" si="31"/>
        <v>24.731613473684209</v>
      </c>
      <c r="V128" s="640"/>
      <c r="W128" s="653">
        <v>0</v>
      </c>
      <c r="X128" s="653">
        <v>0</v>
      </c>
      <c r="Y128" s="653">
        <v>0</v>
      </c>
      <c r="Z128" s="650">
        <v>1.7611399999999999</v>
      </c>
      <c r="AA128" s="654">
        <f t="shared" si="32"/>
        <v>0</v>
      </c>
      <c r="AB128" s="635"/>
      <c r="AC128" s="671"/>
      <c r="AD128" s="642"/>
      <c r="AE128" s="671"/>
      <c r="AF128" s="642"/>
      <c r="AG128" s="671"/>
      <c r="AH128" s="635"/>
      <c r="AI128" s="672"/>
      <c r="AJ128" s="673"/>
      <c r="AK128" s="658">
        <f t="shared" si="16"/>
        <v>0</v>
      </c>
      <c r="AL128" s="635"/>
      <c r="AM128" s="653">
        <v>0</v>
      </c>
      <c r="AN128" s="653">
        <v>0</v>
      </c>
      <c r="AO128" s="653">
        <v>0</v>
      </c>
      <c r="AP128" s="650">
        <v>0.2036</v>
      </c>
      <c r="AQ128" s="652">
        <f t="shared" si="33"/>
        <v>0</v>
      </c>
      <c r="AR128" s="635"/>
      <c r="AS128" s="659">
        <f t="shared" si="30"/>
        <v>2453.7316134736843</v>
      </c>
      <c r="AT128" s="643"/>
      <c r="AU128" s="567"/>
      <c r="AV128" s="567"/>
      <c r="AW128" s="567"/>
      <c r="AX128" s="567">
        <f t="shared" si="22"/>
        <v>2453.7316134736843</v>
      </c>
      <c r="AY128" s="660"/>
      <c r="AZ128" s="631"/>
      <c r="BA128" s="490"/>
      <c r="BE128" s="480">
        <v>24.731613473684209</v>
      </c>
      <c r="BF128" s="570">
        <f t="shared" si="23"/>
        <v>0</v>
      </c>
      <c r="BH128" s="693" t="s">
        <v>845</v>
      </c>
    </row>
    <row r="129" spans="1:60" s="645" customFormat="1" ht="15" x14ac:dyDescent="0.25">
      <c r="A129" s="702" t="s">
        <v>1371</v>
      </c>
      <c r="B129" s="686"/>
      <c r="C129" s="688" t="s">
        <v>298</v>
      </c>
      <c r="D129" s="635">
        <v>347944</v>
      </c>
      <c r="E129" s="663"/>
      <c r="F129" s="664"/>
      <c r="G129" s="551">
        <v>0</v>
      </c>
      <c r="H129" s="551">
        <v>0</v>
      </c>
      <c r="I129" s="551">
        <v>0</v>
      </c>
      <c r="J129" s="649">
        <f t="shared" si="21"/>
        <v>0</v>
      </c>
      <c r="K129" s="668"/>
      <c r="L129" s="669">
        <f t="shared" si="14"/>
        <v>0</v>
      </c>
      <c r="M129" s="668" t="s">
        <v>266</v>
      </c>
      <c r="N129" s="553">
        <v>3.6804985850845933</v>
      </c>
      <c r="O129" s="670">
        <f t="shared" si="15"/>
        <v>0</v>
      </c>
      <c r="P129" s="640"/>
      <c r="Q129" s="653">
        <v>0</v>
      </c>
      <c r="R129" s="653">
        <v>0</v>
      </c>
      <c r="S129" s="653">
        <v>0</v>
      </c>
      <c r="T129" s="650">
        <v>0.2036</v>
      </c>
      <c r="U129" s="652">
        <f t="shared" si="31"/>
        <v>0</v>
      </c>
      <c r="V129" s="640"/>
      <c r="W129" s="653">
        <v>0</v>
      </c>
      <c r="X129" s="653">
        <v>0</v>
      </c>
      <c r="Y129" s="653">
        <v>0</v>
      </c>
      <c r="Z129" s="650">
        <v>1.7611399999999999</v>
      </c>
      <c r="AA129" s="654">
        <f t="shared" si="32"/>
        <v>0</v>
      </c>
      <c r="AB129" s="635"/>
      <c r="AC129" s="671"/>
      <c r="AD129" s="642"/>
      <c r="AE129" s="671"/>
      <c r="AF129" s="642"/>
      <c r="AG129" s="671"/>
      <c r="AH129" s="635"/>
      <c r="AI129" s="672"/>
      <c r="AJ129" s="673"/>
      <c r="AK129" s="658">
        <f t="shared" si="16"/>
        <v>0</v>
      </c>
      <c r="AL129" s="635"/>
      <c r="AM129" s="653">
        <v>0</v>
      </c>
      <c r="AN129" s="653">
        <v>0</v>
      </c>
      <c r="AO129" s="653">
        <v>0</v>
      </c>
      <c r="AP129" s="650">
        <v>0.2036</v>
      </c>
      <c r="AQ129" s="652">
        <f t="shared" si="33"/>
        <v>0</v>
      </c>
      <c r="AR129" s="635"/>
      <c r="AS129" s="659">
        <f t="shared" si="30"/>
        <v>0</v>
      </c>
      <c r="AT129" s="643"/>
      <c r="AU129" s="567"/>
      <c r="AV129" s="567"/>
      <c r="AW129" s="567"/>
      <c r="AX129" s="567">
        <f t="shared" si="22"/>
        <v>0</v>
      </c>
      <c r="AY129" s="660"/>
      <c r="AZ129" s="631"/>
      <c r="BA129" s="490"/>
      <c r="BE129" s="480">
        <v>0</v>
      </c>
      <c r="BF129" s="570">
        <f t="shared" si="23"/>
        <v>0</v>
      </c>
      <c r="BH129" s="702" t="s">
        <v>846</v>
      </c>
    </row>
    <row r="130" spans="1:60" s="645" customFormat="1" ht="15" x14ac:dyDescent="0.25">
      <c r="A130" s="695" t="s">
        <v>548</v>
      </c>
      <c r="B130" s="686"/>
      <c r="C130" s="688" t="s">
        <v>299</v>
      </c>
      <c r="D130" s="635">
        <v>335566</v>
      </c>
      <c r="E130" s="663"/>
      <c r="F130" s="664"/>
      <c r="G130" s="551">
        <v>0</v>
      </c>
      <c r="H130" s="551">
        <v>0</v>
      </c>
      <c r="I130" s="551">
        <v>0</v>
      </c>
      <c r="J130" s="649">
        <f t="shared" si="21"/>
        <v>0</v>
      </c>
      <c r="K130" s="668"/>
      <c r="L130" s="669">
        <f t="shared" si="14"/>
        <v>0</v>
      </c>
      <c r="M130" s="668" t="s">
        <v>266</v>
      </c>
      <c r="N130" s="553">
        <v>3.6804985850845933</v>
      </c>
      <c r="O130" s="670">
        <f t="shared" si="15"/>
        <v>0</v>
      </c>
      <c r="P130" s="640"/>
      <c r="Q130" s="653">
        <v>0</v>
      </c>
      <c r="R130" s="653">
        <v>0</v>
      </c>
      <c r="S130" s="653">
        <v>0</v>
      </c>
      <c r="T130" s="650">
        <v>0.2036</v>
      </c>
      <c r="U130" s="652">
        <f t="shared" si="31"/>
        <v>0</v>
      </c>
      <c r="V130" s="640"/>
      <c r="W130" s="653">
        <v>0</v>
      </c>
      <c r="X130" s="653">
        <v>0</v>
      </c>
      <c r="Y130" s="653">
        <v>0</v>
      </c>
      <c r="Z130" s="650">
        <v>1.7611399999999999</v>
      </c>
      <c r="AA130" s="654">
        <f t="shared" si="32"/>
        <v>0</v>
      </c>
      <c r="AB130" s="635"/>
      <c r="AC130" s="671"/>
      <c r="AD130" s="642"/>
      <c r="AE130" s="671"/>
      <c r="AF130" s="642"/>
      <c r="AG130" s="671"/>
      <c r="AH130" s="635"/>
      <c r="AI130" s="672"/>
      <c r="AJ130" s="673"/>
      <c r="AK130" s="658">
        <f t="shared" si="16"/>
        <v>0</v>
      </c>
      <c r="AL130" s="635"/>
      <c r="AM130" s="653">
        <v>0</v>
      </c>
      <c r="AN130" s="653">
        <v>0</v>
      </c>
      <c r="AO130" s="653">
        <v>0</v>
      </c>
      <c r="AP130" s="650">
        <v>0.2036</v>
      </c>
      <c r="AQ130" s="652">
        <f t="shared" si="33"/>
        <v>0</v>
      </c>
      <c r="AR130" s="635"/>
      <c r="AS130" s="659">
        <f t="shared" si="30"/>
        <v>0</v>
      </c>
      <c r="AT130" s="643"/>
      <c r="AU130" s="567"/>
      <c r="AV130" s="567"/>
      <c r="AW130" s="567"/>
      <c r="AX130" s="567">
        <f t="shared" si="22"/>
        <v>0</v>
      </c>
      <c r="AY130" s="660"/>
      <c r="AZ130" s="631"/>
      <c r="BA130" s="490"/>
      <c r="BC130" s="631"/>
      <c r="BD130" s="631"/>
      <c r="BE130" s="480">
        <v>0</v>
      </c>
      <c r="BF130" s="570">
        <f t="shared" si="23"/>
        <v>0</v>
      </c>
      <c r="BH130" s="695" t="s">
        <v>847</v>
      </c>
    </row>
    <row r="131" spans="1:60" s="645" customFormat="1" ht="15" x14ac:dyDescent="0.25">
      <c r="A131" s="685" t="s">
        <v>1414</v>
      </c>
      <c r="B131" s="694"/>
      <c r="C131" s="694" t="s">
        <v>1399</v>
      </c>
      <c r="D131" s="635" t="s">
        <v>849</v>
      </c>
      <c r="E131" s="663"/>
      <c r="F131" s="664"/>
      <c r="G131" s="551">
        <v>144</v>
      </c>
      <c r="H131" s="551">
        <v>168</v>
      </c>
      <c r="I131" s="551">
        <v>144</v>
      </c>
      <c r="J131" s="649">
        <f t="shared" si="21"/>
        <v>456</v>
      </c>
      <c r="K131" s="668"/>
      <c r="L131" s="669">
        <f t="shared" si="14"/>
        <v>456</v>
      </c>
      <c r="M131" s="668" t="s">
        <v>266</v>
      </c>
      <c r="N131" s="553">
        <v>3.6804985850845933</v>
      </c>
      <c r="O131" s="670">
        <f t="shared" si="15"/>
        <v>1678</v>
      </c>
      <c r="P131" s="640"/>
      <c r="Q131" s="653">
        <v>0</v>
      </c>
      <c r="R131" s="653">
        <v>0</v>
      </c>
      <c r="S131" s="653">
        <v>0</v>
      </c>
      <c r="T131" s="650">
        <v>0.2036</v>
      </c>
      <c r="U131" s="652">
        <f t="shared" si="31"/>
        <v>0</v>
      </c>
      <c r="V131" s="640"/>
      <c r="W131" s="653">
        <v>0</v>
      </c>
      <c r="X131" s="653">
        <v>0</v>
      </c>
      <c r="Y131" s="653">
        <v>0</v>
      </c>
      <c r="Z131" s="650">
        <v>1.7611399999999999</v>
      </c>
      <c r="AA131" s="654">
        <f t="shared" si="32"/>
        <v>0</v>
      </c>
      <c r="AB131" s="635"/>
      <c r="AC131" s="671"/>
      <c r="AD131" s="642"/>
      <c r="AE131" s="671"/>
      <c r="AF131" s="642"/>
      <c r="AG131" s="671"/>
      <c r="AH131" s="635"/>
      <c r="AI131" s="672"/>
      <c r="AJ131" s="673"/>
      <c r="AK131" s="658">
        <f t="shared" si="16"/>
        <v>0</v>
      </c>
      <c r="AL131" s="635"/>
      <c r="AM131" s="653">
        <v>0</v>
      </c>
      <c r="AN131" s="653">
        <v>0</v>
      </c>
      <c r="AO131" s="653">
        <v>0</v>
      </c>
      <c r="AP131" s="650">
        <v>0.2036</v>
      </c>
      <c r="AQ131" s="652">
        <f t="shared" si="33"/>
        <v>0</v>
      </c>
      <c r="AR131" s="635"/>
      <c r="AS131" s="659">
        <f t="shared" si="30"/>
        <v>1678</v>
      </c>
      <c r="AT131" s="643"/>
      <c r="AU131" s="567"/>
      <c r="AV131" s="567"/>
      <c r="AW131" s="567"/>
      <c r="AX131" s="567">
        <f t="shared" si="22"/>
        <v>1678</v>
      </c>
      <c r="AY131" s="660"/>
      <c r="AZ131" s="631"/>
      <c r="BA131" s="490"/>
      <c r="BE131" s="480">
        <v>0</v>
      </c>
      <c r="BF131" s="570">
        <f t="shared" si="23"/>
        <v>0</v>
      </c>
      <c r="BH131" s="685" t="s">
        <v>848</v>
      </c>
    </row>
    <row r="132" spans="1:60" s="645" customFormat="1" ht="15" x14ac:dyDescent="0.25">
      <c r="A132" s="1255" t="s">
        <v>549</v>
      </c>
      <c r="B132" s="707"/>
      <c r="C132" s="662" t="s">
        <v>300</v>
      </c>
      <c r="D132" s="635">
        <v>299849</v>
      </c>
      <c r="E132" s="663"/>
      <c r="F132" s="664"/>
      <c r="G132" s="551">
        <v>720</v>
      </c>
      <c r="H132" s="551">
        <v>1470</v>
      </c>
      <c r="I132" s="551">
        <v>540</v>
      </c>
      <c r="J132" s="649">
        <f t="shared" si="21"/>
        <v>2730</v>
      </c>
      <c r="K132" s="668"/>
      <c r="L132" s="669">
        <f t="shared" si="14"/>
        <v>2730</v>
      </c>
      <c r="M132" s="668" t="s">
        <v>266</v>
      </c>
      <c r="N132" s="553">
        <v>3.6804985850845933</v>
      </c>
      <c r="O132" s="670">
        <f t="shared" si="15"/>
        <v>10048</v>
      </c>
      <c r="P132" s="640"/>
      <c r="Q132" s="653">
        <v>1260</v>
      </c>
      <c r="R132" s="653">
        <v>3150</v>
      </c>
      <c r="S132" s="653">
        <v>637.72578947368413</v>
      </c>
      <c r="T132" s="650">
        <v>0.2036</v>
      </c>
      <c r="U132" s="652">
        <f t="shared" si="31"/>
        <v>1027.7169707368421</v>
      </c>
      <c r="V132" s="640"/>
      <c r="W132" s="653">
        <v>0</v>
      </c>
      <c r="X132" s="653">
        <v>0</v>
      </c>
      <c r="Y132" s="653">
        <v>0</v>
      </c>
      <c r="Z132" s="650">
        <v>1.7611399999999999</v>
      </c>
      <c r="AA132" s="654">
        <f t="shared" si="32"/>
        <v>0</v>
      </c>
      <c r="AB132" s="635"/>
      <c r="AC132" s="671"/>
      <c r="AD132" s="642"/>
      <c r="AE132" s="671"/>
      <c r="AF132" s="642"/>
      <c r="AG132" s="671"/>
      <c r="AH132" s="635"/>
      <c r="AI132" s="672"/>
      <c r="AJ132" s="673"/>
      <c r="AK132" s="658">
        <f t="shared" si="16"/>
        <v>0</v>
      </c>
      <c r="AL132" s="635"/>
      <c r="AM132" s="653">
        <v>180</v>
      </c>
      <c r="AN132" s="653">
        <v>210</v>
      </c>
      <c r="AO132" s="653">
        <v>180</v>
      </c>
      <c r="AP132" s="650">
        <v>0.2036</v>
      </c>
      <c r="AQ132" s="652">
        <f t="shared" si="33"/>
        <v>116.05200000000001</v>
      </c>
      <c r="AR132" s="635"/>
      <c r="AS132" s="659">
        <f t="shared" si="30"/>
        <v>11191.768970736843</v>
      </c>
      <c r="AT132" s="643"/>
      <c r="AU132" s="567"/>
      <c r="AV132" s="567"/>
      <c r="AW132" s="567"/>
      <c r="AX132" s="567">
        <f t="shared" si="22"/>
        <v>11191.768970736843</v>
      </c>
      <c r="AY132" s="660"/>
      <c r="AZ132" s="631"/>
      <c r="BA132" s="490"/>
      <c r="BE132" s="480">
        <v>1027.7169707368421</v>
      </c>
      <c r="BF132" s="570">
        <f t="shared" si="23"/>
        <v>0</v>
      </c>
      <c r="BH132" s="681" t="s">
        <v>850</v>
      </c>
    </row>
    <row r="133" spans="1:60" s="645" customFormat="1" ht="15" x14ac:dyDescent="0.25">
      <c r="A133" s="693" t="s">
        <v>1400</v>
      </c>
      <c r="B133" s="694"/>
      <c r="C133" s="694" t="s">
        <v>290</v>
      </c>
      <c r="D133" s="635">
        <v>464494</v>
      </c>
      <c r="E133" s="663"/>
      <c r="F133" s="664"/>
      <c r="G133" s="551">
        <v>0</v>
      </c>
      <c r="H133" s="551">
        <v>0</v>
      </c>
      <c r="I133" s="551">
        <v>0</v>
      </c>
      <c r="J133" s="649">
        <f t="shared" si="21"/>
        <v>0</v>
      </c>
      <c r="K133" s="668"/>
      <c r="L133" s="669">
        <f t="shared" si="14"/>
        <v>0</v>
      </c>
      <c r="M133" s="668" t="s">
        <v>266</v>
      </c>
      <c r="N133" s="553">
        <v>3.6804985850845933</v>
      </c>
      <c r="O133" s="670">
        <f t="shared" si="15"/>
        <v>0</v>
      </c>
      <c r="P133" s="640"/>
      <c r="Q133" s="653">
        <v>0</v>
      </c>
      <c r="R133" s="653">
        <v>0</v>
      </c>
      <c r="S133" s="653">
        <v>180</v>
      </c>
      <c r="T133" s="650">
        <v>0.2036</v>
      </c>
      <c r="U133" s="652">
        <f t="shared" si="31"/>
        <v>36.648000000000003</v>
      </c>
      <c r="V133" s="640"/>
      <c r="W133" s="653">
        <v>0</v>
      </c>
      <c r="X133" s="653">
        <v>0</v>
      </c>
      <c r="Y133" s="653">
        <v>0</v>
      </c>
      <c r="Z133" s="650">
        <v>1.7611399999999999</v>
      </c>
      <c r="AA133" s="654">
        <f t="shared" si="32"/>
        <v>0</v>
      </c>
      <c r="AB133" s="635"/>
      <c r="AC133" s="671"/>
      <c r="AD133" s="642"/>
      <c r="AE133" s="671"/>
      <c r="AF133" s="642"/>
      <c r="AG133" s="671"/>
      <c r="AH133" s="635"/>
      <c r="AI133" s="672"/>
      <c r="AJ133" s="673"/>
      <c r="AK133" s="658">
        <f t="shared" si="16"/>
        <v>0</v>
      </c>
      <c r="AL133" s="635"/>
      <c r="AM133" s="653">
        <v>0</v>
      </c>
      <c r="AN133" s="653">
        <v>0</v>
      </c>
      <c r="AO133" s="653">
        <v>0</v>
      </c>
      <c r="AP133" s="650">
        <v>0.2036</v>
      </c>
      <c r="AQ133" s="652">
        <f t="shared" si="33"/>
        <v>0</v>
      </c>
      <c r="AR133" s="635"/>
      <c r="AS133" s="659">
        <f t="shared" si="30"/>
        <v>36.648000000000003</v>
      </c>
      <c r="AT133" s="643"/>
      <c r="AU133" s="567"/>
      <c r="AV133" s="567"/>
      <c r="AW133" s="567"/>
      <c r="AX133" s="567">
        <f t="shared" si="22"/>
        <v>36.648000000000003</v>
      </c>
      <c r="AY133" s="660"/>
      <c r="AZ133" s="631"/>
      <c r="BA133" s="490"/>
      <c r="BE133" s="480">
        <v>36.648000000000003</v>
      </c>
      <c r="BF133" s="570">
        <f t="shared" si="23"/>
        <v>0</v>
      </c>
      <c r="BH133" s="693" t="s">
        <v>851</v>
      </c>
    </row>
    <row r="134" spans="1:60" s="645" customFormat="1" ht="15" x14ac:dyDescent="0.25">
      <c r="A134" s="708" t="s">
        <v>550</v>
      </c>
      <c r="B134" s="709"/>
      <c r="C134" s="710" t="s">
        <v>301</v>
      </c>
      <c r="D134" s="635">
        <v>318345</v>
      </c>
      <c r="E134" s="663"/>
      <c r="F134" s="664"/>
      <c r="G134" s="551">
        <v>180</v>
      </c>
      <c r="H134" s="551">
        <v>0</v>
      </c>
      <c r="I134" s="551">
        <v>0</v>
      </c>
      <c r="J134" s="649">
        <f t="shared" si="21"/>
        <v>180</v>
      </c>
      <c r="K134" s="668"/>
      <c r="L134" s="669">
        <f t="shared" si="14"/>
        <v>180</v>
      </c>
      <c r="M134" s="668" t="s">
        <v>266</v>
      </c>
      <c r="N134" s="553">
        <v>3.6804985850845933</v>
      </c>
      <c r="O134" s="670">
        <f t="shared" si="15"/>
        <v>662</v>
      </c>
      <c r="P134" s="640"/>
      <c r="Q134" s="653">
        <v>0</v>
      </c>
      <c r="R134" s="653">
        <v>0</v>
      </c>
      <c r="S134" s="653">
        <v>0</v>
      </c>
      <c r="T134" s="650">
        <v>0.2036</v>
      </c>
      <c r="U134" s="652">
        <f t="shared" si="31"/>
        <v>0</v>
      </c>
      <c r="V134" s="640"/>
      <c r="W134" s="653">
        <v>0</v>
      </c>
      <c r="X134" s="653">
        <v>0</v>
      </c>
      <c r="Y134" s="653">
        <v>0</v>
      </c>
      <c r="Z134" s="650">
        <v>1.7611399999999999</v>
      </c>
      <c r="AA134" s="654">
        <f t="shared" si="32"/>
        <v>0</v>
      </c>
      <c r="AB134" s="635"/>
      <c r="AC134" s="671"/>
      <c r="AD134" s="642"/>
      <c r="AE134" s="671"/>
      <c r="AF134" s="642"/>
      <c r="AG134" s="671"/>
      <c r="AH134" s="635"/>
      <c r="AI134" s="672"/>
      <c r="AJ134" s="673"/>
      <c r="AK134" s="658">
        <f t="shared" si="16"/>
        <v>0</v>
      </c>
      <c r="AL134" s="635"/>
      <c r="AM134" s="653">
        <v>0</v>
      </c>
      <c r="AN134" s="653">
        <v>0</v>
      </c>
      <c r="AO134" s="653">
        <v>0</v>
      </c>
      <c r="AP134" s="650">
        <v>0.2036</v>
      </c>
      <c r="AQ134" s="652">
        <f t="shared" si="33"/>
        <v>0</v>
      </c>
      <c r="AR134" s="635"/>
      <c r="AS134" s="659">
        <f t="shared" si="30"/>
        <v>662</v>
      </c>
      <c r="AT134" s="643"/>
      <c r="AU134" s="567"/>
      <c r="AV134" s="567"/>
      <c r="AW134" s="567"/>
      <c r="AX134" s="567">
        <f t="shared" si="22"/>
        <v>662</v>
      </c>
      <c r="AY134" s="660"/>
      <c r="AZ134" s="631"/>
      <c r="BA134" s="490"/>
      <c r="BE134" s="480">
        <v>0</v>
      </c>
      <c r="BF134" s="570">
        <f t="shared" si="23"/>
        <v>0</v>
      </c>
      <c r="BH134" s="708" t="s">
        <v>852</v>
      </c>
    </row>
    <row r="135" spans="1:60" s="645" customFormat="1" ht="15" x14ac:dyDescent="0.25">
      <c r="A135" s="711" t="s">
        <v>1404</v>
      </c>
      <c r="B135" s="489"/>
      <c r="C135" s="712" t="s">
        <v>854</v>
      </c>
      <c r="D135" s="635">
        <v>464682</v>
      </c>
      <c r="E135" s="663"/>
      <c r="F135" s="664"/>
      <c r="G135" s="551">
        <v>540</v>
      </c>
      <c r="H135" s="551">
        <v>420</v>
      </c>
      <c r="I135" s="551">
        <v>360</v>
      </c>
      <c r="J135" s="649">
        <f t="shared" si="21"/>
        <v>1320</v>
      </c>
      <c r="K135" s="668"/>
      <c r="L135" s="669">
        <f t="shared" si="14"/>
        <v>1320</v>
      </c>
      <c r="M135" s="668" t="s">
        <v>266</v>
      </c>
      <c r="N135" s="553">
        <v>3.6804985850845933</v>
      </c>
      <c r="O135" s="670">
        <f t="shared" si="15"/>
        <v>4858</v>
      </c>
      <c r="P135" s="640"/>
      <c r="Q135" s="653">
        <v>0</v>
      </c>
      <c r="R135" s="653">
        <v>0</v>
      </c>
      <c r="S135" s="653">
        <v>0</v>
      </c>
      <c r="T135" s="650">
        <v>0.2036</v>
      </c>
      <c r="U135" s="652">
        <f t="shared" si="31"/>
        <v>0</v>
      </c>
      <c r="V135" s="640"/>
      <c r="W135" s="653">
        <v>0</v>
      </c>
      <c r="X135" s="653">
        <v>0</v>
      </c>
      <c r="Y135" s="653">
        <v>0</v>
      </c>
      <c r="Z135" s="650">
        <v>1.7611399999999999</v>
      </c>
      <c r="AA135" s="654">
        <f t="shared" si="32"/>
        <v>0</v>
      </c>
      <c r="AB135" s="635"/>
      <c r="AC135" s="671"/>
      <c r="AD135" s="642"/>
      <c r="AE135" s="671"/>
      <c r="AF135" s="642"/>
      <c r="AG135" s="671"/>
      <c r="AH135" s="635"/>
      <c r="AI135" s="672"/>
      <c r="AJ135" s="673"/>
      <c r="AK135" s="658">
        <f t="shared" si="16"/>
        <v>0</v>
      </c>
      <c r="AL135" s="635"/>
      <c r="AM135" s="653">
        <v>0</v>
      </c>
      <c r="AN135" s="653">
        <v>0</v>
      </c>
      <c r="AO135" s="653">
        <v>0</v>
      </c>
      <c r="AP135" s="650">
        <v>0.2036</v>
      </c>
      <c r="AQ135" s="652">
        <f t="shared" si="33"/>
        <v>0</v>
      </c>
      <c r="AR135" s="635"/>
      <c r="AS135" s="659">
        <f t="shared" si="30"/>
        <v>4858</v>
      </c>
      <c r="AT135" s="643"/>
      <c r="AU135" s="567"/>
      <c r="AV135" s="567"/>
      <c r="AW135" s="567"/>
      <c r="AX135" s="567">
        <f t="shared" si="22"/>
        <v>4858</v>
      </c>
      <c r="AY135" s="660"/>
      <c r="AZ135" s="631"/>
      <c r="BA135" s="490"/>
      <c r="BE135" s="480">
        <v>0</v>
      </c>
      <c r="BF135" s="570">
        <f t="shared" si="23"/>
        <v>0</v>
      </c>
      <c r="BH135" s="711" t="s">
        <v>853</v>
      </c>
    </row>
    <row r="136" spans="1:60" s="645" customFormat="1" ht="15" x14ac:dyDescent="0.25">
      <c r="A136" s="711" t="s">
        <v>1405</v>
      </c>
      <c r="B136" s="489"/>
      <c r="C136" s="712" t="s">
        <v>856</v>
      </c>
      <c r="D136" s="635">
        <v>380277</v>
      </c>
      <c r="E136" s="663"/>
      <c r="F136" s="664"/>
      <c r="G136" s="551">
        <v>98</v>
      </c>
      <c r="H136" s="551">
        <v>98</v>
      </c>
      <c r="I136" s="551">
        <v>84</v>
      </c>
      <c r="J136" s="649">
        <f t="shared" si="21"/>
        <v>280</v>
      </c>
      <c r="K136" s="668"/>
      <c r="L136" s="669">
        <f t="shared" si="14"/>
        <v>280</v>
      </c>
      <c r="M136" s="668" t="s">
        <v>266</v>
      </c>
      <c r="N136" s="553">
        <v>3.6804985850845933</v>
      </c>
      <c r="O136" s="670">
        <f t="shared" si="15"/>
        <v>1031</v>
      </c>
      <c r="P136" s="640"/>
      <c r="Q136" s="653">
        <v>312</v>
      </c>
      <c r="R136" s="653">
        <v>294</v>
      </c>
      <c r="S136" s="653">
        <v>0</v>
      </c>
      <c r="T136" s="650">
        <v>0.2036</v>
      </c>
      <c r="U136" s="652">
        <f t="shared" si="31"/>
        <v>123.38160000000001</v>
      </c>
      <c r="V136" s="640"/>
      <c r="W136" s="653">
        <v>0</v>
      </c>
      <c r="X136" s="653">
        <v>0</v>
      </c>
      <c r="Y136" s="653">
        <v>0</v>
      </c>
      <c r="Z136" s="650">
        <v>1.7611399999999999</v>
      </c>
      <c r="AA136" s="654">
        <f t="shared" si="32"/>
        <v>0</v>
      </c>
      <c r="AB136" s="635"/>
      <c r="AC136" s="671"/>
      <c r="AD136" s="642"/>
      <c r="AE136" s="671"/>
      <c r="AF136" s="642"/>
      <c r="AG136" s="671"/>
      <c r="AH136" s="635"/>
      <c r="AI136" s="672"/>
      <c r="AJ136" s="673"/>
      <c r="AK136" s="658">
        <f t="shared" si="16"/>
        <v>0</v>
      </c>
      <c r="AL136" s="635"/>
      <c r="AM136" s="653">
        <v>84</v>
      </c>
      <c r="AN136" s="653">
        <v>98</v>
      </c>
      <c r="AO136" s="653">
        <v>84</v>
      </c>
      <c r="AP136" s="650">
        <v>0.2036</v>
      </c>
      <c r="AQ136" s="652">
        <f t="shared" si="33"/>
        <v>54.157600000000002</v>
      </c>
      <c r="AR136" s="635"/>
      <c r="AS136" s="659">
        <f t="shared" si="30"/>
        <v>1208.5391999999999</v>
      </c>
      <c r="AT136" s="643"/>
      <c r="AU136" s="567"/>
      <c r="AV136" s="567"/>
      <c r="AW136" s="567"/>
      <c r="AX136" s="567">
        <f t="shared" si="22"/>
        <v>1208.5391999999999</v>
      </c>
      <c r="AY136" s="660"/>
      <c r="AZ136" s="631"/>
      <c r="BA136" s="490"/>
      <c r="BC136" s="631"/>
      <c r="BD136" s="631"/>
      <c r="BE136" s="480">
        <v>123.38160000000001</v>
      </c>
      <c r="BF136" s="570">
        <f t="shared" ref="BF136:BF199" si="34">BE136-U136</f>
        <v>0</v>
      </c>
      <c r="BH136" s="711" t="s">
        <v>855</v>
      </c>
    </row>
    <row r="137" spans="1:60" s="645" customFormat="1" ht="15" x14ac:dyDescent="0.25">
      <c r="A137" s="685" t="s">
        <v>595</v>
      </c>
      <c r="B137" s="694"/>
      <c r="C137" s="694" t="s">
        <v>285</v>
      </c>
      <c r="D137" s="635">
        <v>350863</v>
      </c>
      <c r="E137" s="663"/>
      <c r="F137" s="664"/>
      <c r="G137" s="551">
        <v>810</v>
      </c>
      <c r="H137" s="551">
        <v>525</v>
      </c>
      <c r="I137" s="551">
        <v>450</v>
      </c>
      <c r="J137" s="649">
        <f t="shared" si="21"/>
        <v>1785</v>
      </c>
      <c r="K137" s="668"/>
      <c r="L137" s="669">
        <f t="shared" si="14"/>
        <v>1785</v>
      </c>
      <c r="M137" s="668" t="s">
        <v>266</v>
      </c>
      <c r="N137" s="553">
        <v>3.6804985850845933</v>
      </c>
      <c r="O137" s="670">
        <f t="shared" si="15"/>
        <v>6570</v>
      </c>
      <c r="P137" s="640"/>
      <c r="Q137" s="653">
        <v>0</v>
      </c>
      <c r="R137" s="653">
        <v>0</v>
      </c>
      <c r="S137" s="653">
        <v>180</v>
      </c>
      <c r="T137" s="650">
        <v>0.2036</v>
      </c>
      <c r="U137" s="652">
        <f t="shared" si="31"/>
        <v>36.648000000000003</v>
      </c>
      <c r="V137" s="640"/>
      <c r="W137" s="653">
        <v>0</v>
      </c>
      <c r="X137" s="653">
        <v>0</v>
      </c>
      <c r="Y137" s="653">
        <v>0</v>
      </c>
      <c r="Z137" s="650">
        <v>1.7611399999999999</v>
      </c>
      <c r="AA137" s="654">
        <f t="shared" si="32"/>
        <v>0</v>
      </c>
      <c r="AB137" s="635"/>
      <c r="AC137" s="671"/>
      <c r="AD137" s="642"/>
      <c r="AE137" s="671"/>
      <c r="AF137" s="642"/>
      <c r="AG137" s="671"/>
      <c r="AH137" s="635"/>
      <c r="AI137" s="672"/>
      <c r="AJ137" s="673"/>
      <c r="AK137" s="658">
        <f t="shared" si="16"/>
        <v>0</v>
      </c>
      <c r="AL137" s="635"/>
      <c r="AM137" s="653">
        <v>0</v>
      </c>
      <c r="AN137" s="653">
        <v>0</v>
      </c>
      <c r="AO137" s="653">
        <v>0</v>
      </c>
      <c r="AP137" s="650">
        <v>0.2036</v>
      </c>
      <c r="AQ137" s="652">
        <f t="shared" si="33"/>
        <v>0</v>
      </c>
      <c r="AR137" s="635"/>
      <c r="AS137" s="659">
        <f t="shared" si="30"/>
        <v>6606.6480000000001</v>
      </c>
      <c r="AT137" s="643"/>
      <c r="AU137" s="567"/>
      <c r="AV137" s="567"/>
      <c r="AW137" s="567"/>
      <c r="AX137" s="567">
        <f t="shared" si="22"/>
        <v>6606.6480000000001</v>
      </c>
      <c r="AY137" s="660"/>
      <c r="AZ137" s="631"/>
      <c r="BA137" s="490"/>
      <c r="BC137" s="631"/>
      <c r="BD137" s="631"/>
      <c r="BE137" s="480">
        <v>36.648000000000003</v>
      </c>
      <c r="BF137" s="570">
        <f t="shared" si="34"/>
        <v>0</v>
      </c>
      <c r="BH137" s="685" t="s">
        <v>857</v>
      </c>
    </row>
    <row r="138" spans="1:60" s="645" customFormat="1" ht="15" x14ac:dyDescent="0.25">
      <c r="A138" s="102" t="s">
        <v>302</v>
      </c>
      <c r="B138" s="713"/>
      <c r="C138" s="687" t="s">
        <v>303</v>
      </c>
      <c r="D138" s="635">
        <v>240925</v>
      </c>
      <c r="E138" s="663"/>
      <c r="F138" s="664"/>
      <c r="G138" s="551">
        <v>7777</v>
      </c>
      <c r="H138" s="551">
        <v>7735</v>
      </c>
      <c r="I138" s="551">
        <v>8162</v>
      </c>
      <c r="J138" s="649">
        <f t="shared" si="21"/>
        <v>23674</v>
      </c>
      <c r="K138" s="668"/>
      <c r="L138" s="669">
        <f t="shared" si="14"/>
        <v>23674</v>
      </c>
      <c r="M138" s="668" t="s">
        <v>266</v>
      </c>
      <c r="N138" s="553">
        <v>3.6804985850845933</v>
      </c>
      <c r="O138" s="670">
        <f t="shared" si="15"/>
        <v>87132</v>
      </c>
      <c r="P138" s="640"/>
      <c r="Q138" s="653">
        <v>1050</v>
      </c>
      <c r="R138" s="653">
        <v>2100</v>
      </c>
      <c r="S138" s="653">
        <v>1007.2018421052633</v>
      </c>
      <c r="T138" s="650">
        <v>0.2036</v>
      </c>
      <c r="U138" s="652">
        <f t="shared" si="31"/>
        <v>846.40629505263166</v>
      </c>
      <c r="V138" s="640"/>
      <c r="W138" s="653">
        <v>0</v>
      </c>
      <c r="X138" s="653">
        <v>0</v>
      </c>
      <c r="Y138" s="653">
        <v>0</v>
      </c>
      <c r="Z138" s="650">
        <v>1.7611399999999999</v>
      </c>
      <c r="AA138" s="654">
        <f t="shared" si="32"/>
        <v>0</v>
      </c>
      <c r="AB138" s="635"/>
      <c r="AC138" s="671"/>
      <c r="AD138" s="642"/>
      <c r="AE138" s="671"/>
      <c r="AF138" s="642"/>
      <c r="AG138" s="671"/>
      <c r="AH138" s="635"/>
      <c r="AI138" s="672"/>
      <c r="AJ138" s="673"/>
      <c r="AK138" s="658">
        <f t="shared" si="16"/>
        <v>0</v>
      </c>
      <c r="AL138" s="635"/>
      <c r="AM138" s="653">
        <v>300</v>
      </c>
      <c r="AN138" s="653">
        <v>210</v>
      </c>
      <c r="AO138" s="653">
        <v>300</v>
      </c>
      <c r="AP138" s="650">
        <v>0.2036</v>
      </c>
      <c r="AQ138" s="652">
        <f t="shared" si="33"/>
        <v>164.916</v>
      </c>
      <c r="AR138" s="635"/>
      <c r="AS138" s="659">
        <f t="shared" si="30"/>
        <v>88143.322295052625</v>
      </c>
      <c r="AT138" s="643"/>
      <c r="AU138" s="567"/>
      <c r="AV138" s="567"/>
      <c r="AW138" s="567"/>
      <c r="AX138" s="567">
        <f t="shared" si="22"/>
        <v>88143.322295052625</v>
      </c>
      <c r="AY138" s="660"/>
      <c r="AZ138" s="631"/>
      <c r="BA138" s="490"/>
      <c r="BE138" s="480">
        <v>846.40629505263166</v>
      </c>
      <c r="BF138" s="570">
        <f t="shared" si="34"/>
        <v>0</v>
      </c>
    </row>
    <row r="139" spans="1:60" s="645" customFormat="1" ht="15" x14ac:dyDescent="0.25">
      <c r="A139" s="644" t="s">
        <v>304</v>
      </c>
      <c r="B139" s="644" t="s">
        <v>305</v>
      </c>
      <c r="C139" s="646" t="s">
        <v>306</v>
      </c>
      <c r="D139" s="635">
        <v>218880</v>
      </c>
      <c r="E139" s="663"/>
      <c r="F139" s="664"/>
      <c r="G139" s="551">
        <v>0</v>
      </c>
      <c r="H139" s="551">
        <v>0</v>
      </c>
      <c r="I139" s="551">
        <v>0</v>
      </c>
      <c r="J139" s="649">
        <f t="shared" si="21"/>
        <v>0</v>
      </c>
      <c r="K139" s="668"/>
      <c r="L139" s="669">
        <f t="shared" si="14"/>
        <v>0</v>
      </c>
      <c r="M139" s="668" t="s">
        <v>266</v>
      </c>
      <c r="N139" s="553">
        <v>3.6804985850845933</v>
      </c>
      <c r="O139" s="670">
        <f t="shared" si="15"/>
        <v>0</v>
      </c>
      <c r="P139" s="640"/>
      <c r="Q139" s="653">
        <v>2700</v>
      </c>
      <c r="R139" s="653">
        <v>0</v>
      </c>
      <c r="S139" s="653">
        <v>556.74473684210523</v>
      </c>
      <c r="T139" s="650">
        <v>0.2036</v>
      </c>
      <c r="U139" s="652">
        <f t="shared" si="31"/>
        <v>663.0732284210527</v>
      </c>
      <c r="V139" s="640"/>
      <c r="W139" s="653">
        <v>0</v>
      </c>
      <c r="X139" s="653">
        <v>0</v>
      </c>
      <c r="Y139" s="653">
        <v>0</v>
      </c>
      <c r="Z139" s="650">
        <v>1.7611399999999999</v>
      </c>
      <c r="AA139" s="654">
        <f t="shared" si="32"/>
        <v>0</v>
      </c>
      <c r="AB139" s="635"/>
      <c r="AC139" s="671"/>
      <c r="AD139" s="642"/>
      <c r="AE139" s="671"/>
      <c r="AF139" s="642"/>
      <c r="AG139" s="671"/>
      <c r="AH139" s="635"/>
      <c r="AI139" s="672"/>
      <c r="AJ139" s="673"/>
      <c r="AK139" s="658">
        <f t="shared" si="16"/>
        <v>0</v>
      </c>
      <c r="AL139" s="635"/>
      <c r="AM139" s="653">
        <v>720</v>
      </c>
      <c r="AN139" s="653">
        <v>0</v>
      </c>
      <c r="AO139" s="653">
        <v>720</v>
      </c>
      <c r="AP139" s="650">
        <v>0.2036</v>
      </c>
      <c r="AQ139" s="652">
        <f t="shared" si="33"/>
        <v>293.18400000000003</v>
      </c>
      <c r="AR139" s="635"/>
      <c r="AS139" s="659">
        <f t="shared" si="30"/>
        <v>956.25722842105279</v>
      </c>
      <c r="AT139" s="643"/>
      <c r="AU139" s="567"/>
      <c r="AV139" s="567"/>
      <c r="AW139" s="567"/>
      <c r="AX139" s="567">
        <f t="shared" si="22"/>
        <v>956.25722842105279</v>
      </c>
      <c r="AY139" s="660"/>
      <c r="AZ139" s="631"/>
      <c r="BA139" s="490"/>
      <c r="BE139" s="480">
        <v>663.0732284210527</v>
      </c>
      <c r="BF139" s="570">
        <f t="shared" si="34"/>
        <v>0</v>
      </c>
    </row>
    <row r="140" spans="1:60" s="645" customFormat="1" ht="15" x14ac:dyDescent="0.25">
      <c r="A140" s="683" t="s">
        <v>858</v>
      </c>
      <c r="B140" s="683"/>
      <c r="C140" s="684" t="s">
        <v>859</v>
      </c>
      <c r="D140" s="635">
        <v>476012</v>
      </c>
      <c r="E140" s="663"/>
      <c r="F140" s="664"/>
      <c r="G140" s="551">
        <v>6300</v>
      </c>
      <c r="H140" s="551">
        <v>5670</v>
      </c>
      <c r="I140" s="551">
        <v>5580</v>
      </c>
      <c r="J140" s="649">
        <f t="shared" si="21"/>
        <v>17550</v>
      </c>
      <c r="K140" s="668"/>
      <c r="L140" s="669">
        <f t="shared" si="14"/>
        <v>17550</v>
      </c>
      <c r="M140" s="668" t="s">
        <v>266</v>
      </c>
      <c r="N140" s="553">
        <v>3.6804985850845933</v>
      </c>
      <c r="O140" s="670">
        <f t="shared" si="15"/>
        <v>64593</v>
      </c>
      <c r="P140" s="640"/>
      <c r="Q140" s="653">
        <v>0</v>
      </c>
      <c r="R140" s="653">
        <v>3066</v>
      </c>
      <c r="S140" s="653">
        <v>0</v>
      </c>
      <c r="T140" s="650">
        <v>0.2036</v>
      </c>
      <c r="U140" s="652">
        <f t="shared" si="31"/>
        <v>624.23760000000004</v>
      </c>
      <c r="V140" s="640"/>
      <c r="W140" s="653">
        <v>0</v>
      </c>
      <c r="X140" s="653">
        <v>420</v>
      </c>
      <c r="Y140" s="653">
        <v>0</v>
      </c>
      <c r="Z140" s="650">
        <v>1.7611399999999999</v>
      </c>
      <c r="AA140" s="654">
        <f t="shared" si="32"/>
        <v>739.67880000000002</v>
      </c>
      <c r="AB140" s="635"/>
      <c r="AC140" s="671"/>
      <c r="AD140" s="642"/>
      <c r="AE140" s="671"/>
      <c r="AF140" s="642"/>
      <c r="AG140" s="671"/>
      <c r="AH140" s="635"/>
      <c r="AI140" s="672"/>
      <c r="AJ140" s="673"/>
      <c r="AK140" s="658">
        <f t="shared" si="16"/>
        <v>0</v>
      </c>
      <c r="AL140" s="635"/>
      <c r="AM140" s="653">
        <v>0</v>
      </c>
      <c r="AN140" s="653">
        <v>210</v>
      </c>
      <c r="AO140" s="653">
        <v>0</v>
      </c>
      <c r="AP140" s="650">
        <v>0.2036</v>
      </c>
      <c r="AQ140" s="652">
        <f t="shared" si="33"/>
        <v>42.756</v>
      </c>
      <c r="AR140" s="635"/>
      <c r="AS140" s="659">
        <f t="shared" si="30"/>
        <v>65999.672399999996</v>
      </c>
      <c r="AT140" s="643"/>
      <c r="AU140" s="567"/>
      <c r="AV140" s="567"/>
      <c r="AW140" s="567"/>
      <c r="AX140" s="567">
        <f t="shared" si="22"/>
        <v>65999.672399999996</v>
      </c>
      <c r="AY140" s="660"/>
      <c r="AZ140" s="631"/>
      <c r="BA140" s="490"/>
      <c r="BE140" s="480">
        <v>624.23760000000004</v>
      </c>
      <c r="BF140" s="570">
        <f t="shared" si="34"/>
        <v>0</v>
      </c>
    </row>
    <row r="141" spans="1:60" s="645" customFormat="1" ht="15" x14ac:dyDescent="0.25">
      <c r="A141" s="661" t="s">
        <v>860</v>
      </c>
      <c r="B141" s="644"/>
      <c r="C141" s="690" t="s">
        <v>861</v>
      </c>
      <c r="D141" s="635">
        <v>460372</v>
      </c>
      <c r="E141" s="663"/>
      <c r="F141" s="664"/>
      <c r="G141" s="551">
        <v>0</v>
      </c>
      <c r="H141" s="551">
        <v>0</v>
      </c>
      <c r="I141" s="551">
        <v>0</v>
      </c>
      <c r="J141" s="649">
        <f t="shared" si="21"/>
        <v>0</v>
      </c>
      <c r="K141" s="668"/>
      <c r="L141" s="669">
        <f t="shared" si="14"/>
        <v>0</v>
      </c>
      <c r="M141" s="668" t="s">
        <v>251</v>
      </c>
      <c r="N141" s="553">
        <v>3.6804985850845933</v>
      </c>
      <c r="O141" s="670">
        <f t="shared" si="15"/>
        <v>0</v>
      </c>
      <c r="P141" s="640"/>
      <c r="Q141" s="653">
        <v>3240</v>
      </c>
      <c r="R141" s="653">
        <v>0</v>
      </c>
      <c r="S141" s="653">
        <v>0</v>
      </c>
      <c r="T141" s="650">
        <v>0.2036</v>
      </c>
      <c r="U141" s="652">
        <f t="shared" si="31"/>
        <v>659.66399999999999</v>
      </c>
      <c r="V141" s="640"/>
      <c r="W141" s="653">
        <v>0</v>
      </c>
      <c r="X141" s="653">
        <v>0</v>
      </c>
      <c r="Y141" s="653">
        <v>0</v>
      </c>
      <c r="Z141" s="650">
        <v>1.7611399999999999</v>
      </c>
      <c r="AA141" s="654">
        <f t="shared" si="32"/>
        <v>0</v>
      </c>
      <c r="AB141" s="635"/>
      <c r="AC141" s="671"/>
      <c r="AD141" s="642"/>
      <c r="AE141" s="671"/>
      <c r="AF141" s="642"/>
      <c r="AG141" s="671"/>
      <c r="AH141" s="635"/>
      <c r="AI141" s="672"/>
      <c r="AJ141" s="673"/>
      <c r="AK141" s="658">
        <f t="shared" si="16"/>
        <v>0</v>
      </c>
      <c r="AL141" s="635"/>
      <c r="AM141" s="653">
        <v>0</v>
      </c>
      <c r="AN141" s="653">
        <v>0</v>
      </c>
      <c r="AO141" s="653">
        <v>0</v>
      </c>
      <c r="AP141" s="650">
        <v>0.2036</v>
      </c>
      <c r="AQ141" s="652">
        <f t="shared" si="33"/>
        <v>0</v>
      </c>
      <c r="AR141" s="635"/>
      <c r="AS141" s="659">
        <f t="shared" si="30"/>
        <v>659.66399999999999</v>
      </c>
      <c r="AT141" s="643"/>
      <c r="AU141" s="567"/>
      <c r="AV141" s="567"/>
      <c r="AW141" s="567"/>
      <c r="AX141" s="567">
        <f t="shared" si="22"/>
        <v>659.66399999999999</v>
      </c>
      <c r="AY141" s="660"/>
      <c r="AZ141" s="631"/>
      <c r="BA141" s="490"/>
      <c r="BE141" s="480">
        <v>659.66399999999999</v>
      </c>
      <c r="BF141" s="570">
        <f t="shared" si="34"/>
        <v>0</v>
      </c>
    </row>
    <row r="142" spans="1:60" s="645" customFormat="1" ht="15" x14ac:dyDescent="0.25">
      <c r="A142" s="714" t="s">
        <v>307</v>
      </c>
      <c r="B142" s="680"/>
      <c r="C142" s="667" t="s">
        <v>308</v>
      </c>
      <c r="D142" s="635">
        <v>421215</v>
      </c>
      <c r="E142" s="663"/>
      <c r="F142" s="664"/>
      <c r="G142" s="551">
        <v>7560</v>
      </c>
      <c r="H142" s="551">
        <v>9870</v>
      </c>
      <c r="I142" s="551">
        <v>9360</v>
      </c>
      <c r="J142" s="649">
        <f t="shared" si="21"/>
        <v>26790</v>
      </c>
      <c r="K142" s="668"/>
      <c r="L142" s="669">
        <f t="shared" si="14"/>
        <v>26790</v>
      </c>
      <c r="M142" s="668" t="s">
        <v>266</v>
      </c>
      <c r="N142" s="553">
        <v>3.6804985850845933</v>
      </c>
      <c r="O142" s="670">
        <f t="shared" si="15"/>
        <v>98601</v>
      </c>
      <c r="P142" s="640"/>
      <c r="Q142" s="653">
        <v>10764</v>
      </c>
      <c r="R142" s="653">
        <v>6720</v>
      </c>
      <c r="S142" s="653">
        <v>3212.9232631578943</v>
      </c>
      <c r="T142" s="650">
        <v>0.2036</v>
      </c>
      <c r="U142" s="652">
        <f t="shared" si="31"/>
        <v>4213.8935763789468</v>
      </c>
      <c r="V142" s="640"/>
      <c r="W142" s="653">
        <v>180</v>
      </c>
      <c r="X142" s="653">
        <v>0</v>
      </c>
      <c r="Y142" s="653">
        <v>180</v>
      </c>
      <c r="Z142" s="650">
        <v>1.7611399999999999</v>
      </c>
      <c r="AA142" s="654">
        <f t="shared" si="32"/>
        <v>634.0104</v>
      </c>
      <c r="AB142" s="635"/>
      <c r="AC142" s="671"/>
      <c r="AD142" s="642"/>
      <c r="AE142" s="671"/>
      <c r="AF142" s="642"/>
      <c r="AG142" s="671"/>
      <c r="AH142" s="635"/>
      <c r="AI142" s="672"/>
      <c r="AJ142" s="673"/>
      <c r="AK142" s="658">
        <f t="shared" si="16"/>
        <v>0</v>
      </c>
      <c r="AL142" s="635"/>
      <c r="AM142" s="653">
        <v>360</v>
      </c>
      <c r="AN142" s="653">
        <v>210</v>
      </c>
      <c r="AO142" s="653">
        <v>360</v>
      </c>
      <c r="AP142" s="650">
        <v>0.2036</v>
      </c>
      <c r="AQ142" s="652">
        <f t="shared" si="33"/>
        <v>189.34800000000001</v>
      </c>
      <c r="AR142" s="635"/>
      <c r="AS142" s="659">
        <f t="shared" si="30"/>
        <v>103638.25197637895</v>
      </c>
      <c r="AT142" s="643"/>
      <c r="AU142" s="567"/>
      <c r="AV142" s="567"/>
      <c r="AW142" s="567"/>
      <c r="AX142" s="567">
        <f t="shared" si="22"/>
        <v>103638.25197637895</v>
      </c>
      <c r="AY142" s="660"/>
      <c r="AZ142" s="631"/>
      <c r="BA142" s="490"/>
      <c r="BE142" s="480">
        <v>4213.8935763789468</v>
      </c>
      <c r="BF142" s="570">
        <f t="shared" si="34"/>
        <v>0</v>
      </c>
    </row>
    <row r="143" spans="1:60" s="645" customFormat="1" ht="15" x14ac:dyDescent="0.25">
      <c r="A143" s="644" t="s">
        <v>309</v>
      </c>
      <c r="B143" s="644" t="s">
        <v>310</v>
      </c>
      <c r="C143" s="646">
        <v>258417</v>
      </c>
      <c r="D143" s="635">
        <v>258417</v>
      </c>
      <c r="E143" s="663"/>
      <c r="F143" s="664"/>
      <c r="G143" s="551">
        <v>0</v>
      </c>
      <c r="H143" s="551">
        <v>0</v>
      </c>
      <c r="I143" s="551">
        <v>0</v>
      </c>
      <c r="J143" s="649">
        <f t="shared" si="21"/>
        <v>0</v>
      </c>
      <c r="K143" s="668"/>
      <c r="L143" s="669">
        <f t="shared" si="14"/>
        <v>0</v>
      </c>
      <c r="M143" s="668" t="s">
        <v>266</v>
      </c>
      <c r="N143" s="553">
        <v>3.6804985850845933</v>
      </c>
      <c r="O143" s="670">
        <f t="shared" si="15"/>
        <v>0</v>
      </c>
      <c r="P143" s="640"/>
      <c r="Q143" s="653">
        <v>3384</v>
      </c>
      <c r="R143" s="653">
        <v>0</v>
      </c>
      <c r="S143" s="653">
        <v>3004.3970526315788</v>
      </c>
      <c r="T143" s="650">
        <v>0.2036</v>
      </c>
      <c r="U143" s="652">
        <f t="shared" si="31"/>
        <v>1300.6776399157895</v>
      </c>
      <c r="V143" s="640"/>
      <c r="W143" s="653">
        <v>360</v>
      </c>
      <c r="X143" s="653">
        <v>0</v>
      </c>
      <c r="Y143" s="653">
        <v>360</v>
      </c>
      <c r="Z143" s="650">
        <v>1.7611399999999999</v>
      </c>
      <c r="AA143" s="654">
        <f t="shared" si="32"/>
        <v>1268.0208</v>
      </c>
      <c r="AB143" s="635"/>
      <c r="AC143" s="671"/>
      <c r="AD143" s="642"/>
      <c r="AE143" s="671"/>
      <c r="AF143" s="642"/>
      <c r="AG143" s="671"/>
      <c r="AH143" s="635"/>
      <c r="AI143" s="672"/>
      <c r="AJ143" s="673"/>
      <c r="AK143" s="658">
        <f t="shared" si="16"/>
        <v>0</v>
      </c>
      <c r="AL143" s="635"/>
      <c r="AM143" s="653">
        <v>0</v>
      </c>
      <c r="AN143" s="653">
        <v>0</v>
      </c>
      <c r="AO143" s="653">
        <v>0</v>
      </c>
      <c r="AP143" s="650">
        <v>0.2036</v>
      </c>
      <c r="AQ143" s="652">
        <f t="shared" si="33"/>
        <v>0</v>
      </c>
      <c r="AR143" s="635"/>
      <c r="AS143" s="659">
        <f t="shared" si="30"/>
        <v>2568.6984399157895</v>
      </c>
      <c r="AT143" s="643"/>
      <c r="AU143" s="567"/>
      <c r="AV143" s="567"/>
      <c r="AW143" s="567"/>
      <c r="AX143" s="567">
        <f t="shared" si="22"/>
        <v>2568.6984399157895</v>
      </c>
      <c r="AY143" s="660"/>
      <c r="AZ143" s="631"/>
      <c r="BA143" s="490"/>
      <c r="BE143" s="480">
        <v>1300.6776399157895</v>
      </c>
      <c r="BF143" s="570">
        <f t="shared" si="34"/>
        <v>0</v>
      </c>
    </row>
    <row r="144" spans="1:60" s="645" customFormat="1" ht="15" x14ac:dyDescent="0.25">
      <c r="A144" s="644" t="s">
        <v>311</v>
      </c>
      <c r="B144" s="644" t="s">
        <v>312</v>
      </c>
      <c r="C144" s="646" t="s">
        <v>313</v>
      </c>
      <c r="D144" s="635">
        <v>345674</v>
      </c>
      <c r="E144" s="663"/>
      <c r="F144" s="664"/>
      <c r="G144" s="551">
        <v>3816</v>
      </c>
      <c r="H144" s="551">
        <v>4200</v>
      </c>
      <c r="I144" s="551">
        <v>2880</v>
      </c>
      <c r="J144" s="649">
        <f t="shared" si="21"/>
        <v>10896</v>
      </c>
      <c r="K144" s="668"/>
      <c r="L144" s="669">
        <f t="shared" si="14"/>
        <v>10896</v>
      </c>
      <c r="M144" s="668" t="s">
        <v>251</v>
      </c>
      <c r="N144" s="553">
        <v>3.6804985850845933</v>
      </c>
      <c r="O144" s="670">
        <f t="shared" si="15"/>
        <v>40103</v>
      </c>
      <c r="P144" s="640"/>
      <c r="Q144" s="653">
        <v>2145</v>
      </c>
      <c r="R144" s="653">
        <v>4998</v>
      </c>
      <c r="S144" s="653">
        <v>3680.5888421052632</v>
      </c>
      <c r="T144" s="650">
        <v>0.2036</v>
      </c>
      <c r="U144" s="652">
        <f t="shared" si="31"/>
        <v>2203.6826882526316</v>
      </c>
      <c r="V144" s="640"/>
      <c r="W144" s="653">
        <v>0</v>
      </c>
      <c r="X144" s="653">
        <v>0</v>
      </c>
      <c r="Y144" s="653">
        <v>0</v>
      </c>
      <c r="Z144" s="650">
        <v>1.7611399999999999</v>
      </c>
      <c r="AA144" s="654">
        <f t="shared" si="32"/>
        <v>0</v>
      </c>
      <c r="AB144" s="635"/>
      <c r="AC144" s="671"/>
      <c r="AD144" s="642"/>
      <c r="AE144" s="671"/>
      <c r="AF144" s="642"/>
      <c r="AG144" s="671"/>
      <c r="AH144" s="635"/>
      <c r="AI144" s="672"/>
      <c r="AJ144" s="673"/>
      <c r="AK144" s="658">
        <f t="shared" si="16"/>
        <v>0</v>
      </c>
      <c r="AL144" s="635"/>
      <c r="AM144" s="653">
        <v>165</v>
      </c>
      <c r="AN144" s="653">
        <v>0</v>
      </c>
      <c r="AO144" s="653">
        <v>165</v>
      </c>
      <c r="AP144" s="650">
        <v>0.2036</v>
      </c>
      <c r="AQ144" s="652">
        <f t="shared" si="33"/>
        <v>67.188000000000002</v>
      </c>
      <c r="AR144" s="635"/>
      <c r="AS144" s="659">
        <f t="shared" si="30"/>
        <v>42373.870688252631</v>
      </c>
      <c r="AT144" s="643"/>
      <c r="AU144" s="567"/>
      <c r="AV144" s="567"/>
      <c r="AW144" s="567"/>
      <c r="AX144" s="567">
        <f t="shared" si="22"/>
        <v>42373.870688252631</v>
      </c>
      <c r="AY144" s="660"/>
      <c r="AZ144" s="631"/>
      <c r="BA144" s="490"/>
      <c r="BE144" s="480">
        <v>2203.6826882526316</v>
      </c>
      <c r="BF144" s="570">
        <f t="shared" si="34"/>
        <v>0</v>
      </c>
    </row>
    <row r="145" spans="1:58" s="645" customFormat="1" ht="15" x14ac:dyDescent="0.25">
      <c r="A145" s="644" t="s">
        <v>314</v>
      </c>
      <c r="B145" s="644" t="s">
        <v>315</v>
      </c>
      <c r="C145" s="646" t="s">
        <v>316</v>
      </c>
      <c r="D145" s="635">
        <v>307423</v>
      </c>
      <c r="E145" s="663"/>
      <c r="F145" s="664"/>
      <c r="G145" s="551">
        <v>5886</v>
      </c>
      <c r="H145" s="551">
        <v>3360</v>
      </c>
      <c r="I145" s="551">
        <v>4680</v>
      </c>
      <c r="J145" s="649">
        <f t="shared" si="21"/>
        <v>13926</v>
      </c>
      <c r="K145" s="668"/>
      <c r="L145" s="669">
        <f t="shared" si="14"/>
        <v>13926</v>
      </c>
      <c r="M145" s="668" t="s">
        <v>266</v>
      </c>
      <c r="N145" s="553">
        <v>3.6804985850845933</v>
      </c>
      <c r="O145" s="670">
        <f t="shared" si="15"/>
        <v>51255</v>
      </c>
      <c r="P145" s="640"/>
      <c r="Q145" s="653">
        <v>5682</v>
      </c>
      <c r="R145" s="653">
        <v>3927</v>
      </c>
      <c r="S145" s="653">
        <v>7962.4619999999995</v>
      </c>
      <c r="T145" s="650">
        <v>0.2036</v>
      </c>
      <c r="U145" s="652">
        <f t="shared" si="31"/>
        <v>3577.5496631999999</v>
      </c>
      <c r="V145" s="640"/>
      <c r="W145" s="653">
        <v>360</v>
      </c>
      <c r="X145" s="653">
        <v>0</v>
      </c>
      <c r="Y145" s="653">
        <v>360</v>
      </c>
      <c r="Z145" s="650">
        <v>1.7611399999999999</v>
      </c>
      <c r="AA145" s="654">
        <f t="shared" si="32"/>
        <v>1268.0208</v>
      </c>
      <c r="AB145" s="635"/>
      <c r="AC145" s="671"/>
      <c r="AD145" s="642"/>
      <c r="AE145" s="671"/>
      <c r="AF145" s="642"/>
      <c r="AG145" s="671"/>
      <c r="AH145" s="635"/>
      <c r="AI145" s="672"/>
      <c r="AJ145" s="673"/>
      <c r="AK145" s="658">
        <f t="shared" si="16"/>
        <v>0</v>
      </c>
      <c r="AL145" s="635"/>
      <c r="AM145" s="653">
        <v>0</v>
      </c>
      <c r="AN145" s="653">
        <v>0</v>
      </c>
      <c r="AO145" s="653">
        <v>0</v>
      </c>
      <c r="AP145" s="650">
        <v>0.2036</v>
      </c>
      <c r="AQ145" s="652">
        <f t="shared" si="33"/>
        <v>0</v>
      </c>
      <c r="AR145" s="635"/>
      <c r="AS145" s="659">
        <f t="shared" si="30"/>
        <v>56100.570463199998</v>
      </c>
      <c r="AT145" s="643"/>
      <c r="AU145" s="567"/>
      <c r="AV145" s="567"/>
      <c r="AW145" s="567"/>
      <c r="AX145" s="567">
        <f t="shared" si="22"/>
        <v>56100.570463199998</v>
      </c>
      <c r="AY145" s="660"/>
      <c r="AZ145" s="631"/>
      <c r="BA145" s="490"/>
      <c r="BE145" s="480">
        <v>3577.5496631999999</v>
      </c>
      <c r="BF145" s="570">
        <f t="shared" si="34"/>
        <v>0</v>
      </c>
    </row>
    <row r="146" spans="1:58" s="645" customFormat="1" ht="15" x14ac:dyDescent="0.25">
      <c r="A146" s="661" t="s">
        <v>862</v>
      </c>
      <c r="B146" s="489"/>
      <c r="C146" s="715" t="s">
        <v>863</v>
      </c>
      <c r="D146" s="635">
        <v>475427</v>
      </c>
      <c r="E146" s="663"/>
      <c r="F146" s="664"/>
      <c r="G146" s="551">
        <v>180</v>
      </c>
      <c r="H146" s="551">
        <v>210</v>
      </c>
      <c r="I146" s="551">
        <v>180</v>
      </c>
      <c r="J146" s="649">
        <f t="shared" si="21"/>
        <v>570</v>
      </c>
      <c r="K146" s="668"/>
      <c r="L146" s="669">
        <f t="shared" si="14"/>
        <v>570</v>
      </c>
      <c r="M146" s="668" t="s">
        <v>266</v>
      </c>
      <c r="N146" s="553">
        <v>3.6804985850845933</v>
      </c>
      <c r="O146" s="670">
        <f t="shared" si="15"/>
        <v>2098</v>
      </c>
      <c r="P146" s="640"/>
      <c r="Q146" s="653">
        <v>180</v>
      </c>
      <c r="R146" s="653">
        <v>210</v>
      </c>
      <c r="S146" s="653">
        <v>0</v>
      </c>
      <c r="T146" s="650">
        <v>0.2036</v>
      </c>
      <c r="U146" s="652">
        <f t="shared" si="31"/>
        <v>79.403999999999996</v>
      </c>
      <c r="V146" s="640"/>
      <c r="W146" s="653">
        <v>0</v>
      </c>
      <c r="X146" s="653">
        <v>0</v>
      </c>
      <c r="Y146" s="653">
        <v>0</v>
      </c>
      <c r="Z146" s="650">
        <v>1.7611399999999999</v>
      </c>
      <c r="AA146" s="654">
        <f t="shared" si="32"/>
        <v>0</v>
      </c>
      <c r="AB146" s="635"/>
      <c r="AC146" s="671"/>
      <c r="AD146" s="642"/>
      <c r="AE146" s="671"/>
      <c r="AF146" s="642"/>
      <c r="AG146" s="671"/>
      <c r="AH146" s="635"/>
      <c r="AI146" s="672"/>
      <c r="AJ146" s="673"/>
      <c r="AK146" s="658">
        <f t="shared" si="16"/>
        <v>0</v>
      </c>
      <c r="AL146" s="635"/>
      <c r="AM146" s="653">
        <v>0</v>
      </c>
      <c r="AN146" s="653">
        <v>0</v>
      </c>
      <c r="AO146" s="653">
        <v>0</v>
      </c>
      <c r="AP146" s="650">
        <v>0.2036</v>
      </c>
      <c r="AQ146" s="652">
        <f t="shared" si="33"/>
        <v>0</v>
      </c>
      <c r="AR146" s="635"/>
      <c r="AS146" s="659">
        <f t="shared" si="30"/>
        <v>2177.404</v>
      </c>
      <c r="AT146" s="643"/>
      <c r="AU146" s="567"/>
      <c r="AV146" s="567"/>
      <c r="AW146" s="567"/>
      <c r="AX146" s="567">
        <f t="shared" si="22"/>
        <v>2177.404</v>
      </c>
      <c r="AY146" s="660"/>
      <c r="AZ146" s="631"/>
      <c r="BA146" s="490"/>
      <c r="BE146" s="480">
        <v>79.403999999999996</v>
      </c>
      <c r="BF146" s="570">
        <f t="shared" si="34"/>
        <v>0</v>
      </c>
    </row>
    <row r="147" spans="1:58" s="645" customFormat="1" ht="15" x14ac:dyDescent="0.25">
      <c r="A147" s="644" t="s">
        <v>317</v>
      </c>
      <c r="B147" s="644" t="s">
        <v>318</v>
      </c>
      <c r="C147" s="646">
        <v>206106</v>
      </c>
      <c r="D147" s="635">
        <v>206106</v>
      </c>
      <c r="E147" s="663"/>
      <c r="F147" s="664"/>
      <c r="G147" s="551">
        <v>2610</v>
      </c>
      <c r="H147" s="551">
        <v>924</v>
      </c>
      <c r="I147" s="551">
        <v>2520</v>
      </c>
      <c r="J147" s="649">
        <f t="shared" si="21"/>
        <v>6054</v>
      </c>
      <c r="K147" s="668"/>
      <c r="L147" s="669">
        <f t="shared" si="14"/>
        <v>6054</v>
      </c>
      <c r="M147" s="668" t="s">
        <v>251</v>
      </c>
      <c r="N147" s="553">
        <v>3.6804985850845933</v>
      </c>
      <c r="O147" s="670">
        <f t="shared" si="15"/>
        <v>22282</v>
      </c>
      <c r="P147" s="640"/>
      <c r="Q147" s="653">
        <v>1620</v>
      </c>
      <c r="R147" s="653">
        <v>210</v>
      </c>
      <c r="S147" s="653">
        <v>2561.0257894736847</v>
      </c>
      <c r="T147" s="650">
        <v>0.2036</v>
      </c>
      <c r="U147" s="652">
        <f t="shared" si="31"/>
        <v>894.0128507368421</v>
      </c>
      <c r="V147" s="640"/>
      <c r="W147" s="653">
        <v>0</v>
      </c>
      <c r="X147" s="653">
        <v>0</v>
      </c>
      <c r="Y147" s="653">
        <v>0</v>
      </c>
      <c r="Z147" s="650">
        <v>1.7611399999999999</v>
      </c>
      <c r="AA147" s="654">
        <f t="shared" si="32"/>
        <v>0</v>
      </c>
      <c r="AB147" s="635"/>
      <c r="AC147" s="671"/>
      <c r="AD147" s="642"/>
      <c r="AE147" s="671"/>
      <c r="AF147" s="642"/>
      <c r="AG147" s="671"/>
      <c r="AH147" s="635"/>
      <c r="AI147" s="672"/>
      <c r="AJ147" s="673"/>
      <c r="AK147" s="658">
        <f t="shared" si="16"/>
        <v>0</v>
      </c>
      <c r="AL147" s="635"/>
      <c r="AM147" s="653">
        <v>180</v>
      </c>
      <c r="AN147" s="653">
        <v>0</v>
      </c>
      <c r="AO147" s="653">
        <v>180</v>
      </c>
      <c r="AP147" s="650">
        <v>0.2036</v>
      </c>
      <c r="AQ147" s="652">
        <f t="shared" si="33"/>
        <v>73.296000000000006</v>
      </c>
      <c r="AR147" s="635"/>
      <c r="AS147" s="659">
        <f t="shared" si="30"/>
        <v>23249.308850736841</v>
      </c>
      <c r="AT147" s="643"/>
      <c r="AU147" s="567"/>
      <c r="AV147" s="567"/>
      <c r="AW147" s="567"/>
      <c r="AX147" s="567">
        <f t="shared" si="22"/>
        <v>23249.308850736841</v>
      </c>
      <c r="AY147" s="660"/>
      <c r="AZ147" s="631"/>
      <c r="BA147" s="490"/>
      <c r="BE147" s="480">
        <v>894.0128507368421</v>
      </c>
      <c r="BF147" s="570">
        <f t="shared" si="34"/>
        <v>0</v>
      </c>
    </row>
    <row r="148" spans="1:58" s="645" customFormat="1" ht="15" x14ac:dyDescent="0.25">
      <c r="A148" s="681" t="s">
        <v>319</v>
      </c>
      <c r="B148" s="644"/>
      <c r="C148" s="662" t="s">
        <v>320</v>
      </c>
      <c r="D148" s="635">
        <v>440848</v>
      </c>
      <c r="E148" s="663"/>
      <c r="F148" s="664"/>
      <c r="G148" s="551">
        <v>9000</v>
      </c>
      <c r="H148" s="551">
        <v>6300</v>
      </c>
      <c r="I148" s="551">
        <v>6480</v>
      </c>
      <c r="J148" s="649">
        <f t="shared" si="21"/>
        <v>21780</v>
      </c>
      <c r="K148" s="668"/>
      <c r="L148" s="669">
        <f t="shared" si="14"/>
        <v>21780</v>
      </c>
      <c r="M148" s="668" t="s">
        <v>251</v>
      </c>
      <c r="N148" s="553">
        <v>3.6804985850845933</v>
      </c>
      <c r="O148" s="670">
        <f t="shared" si="15"/>
        <v>80161</v>
      </c>
      <c r="P148" s="640"/>
      <c r="Q148" s="653">
        <v>17100</v>
      </c>
      <c r="R148" s="653">
        <v>18480</v>
      </c>
      <c r="S148" s="653">
        <v>19654.101473684212</v>
      </c>
      <c r="T148" s="650">
        <v>0.2036</v>
      </c>
      <c r="U148" s="652">
        <f t="shared" si="31"/>
        <v>11245.663060042105</v>
      </c>
      <c r="V148" s="640"/>
      <c r="W148" s="653">
        <v>180</v>
      </c>
      <c r="X148" s="653">
        <v>0</v>
      </c>
      <c r="Y148" s="653">
        <v>180</v>
      </c>
      <c r="Z148" s="650">
        <v>1.7611399999999999</v>
      </c>
      <c r="AA148" s="654">
        <f t="shared" si="32"/>
        <v>634.0104</v>
      </c>
      <c r="AB148" s="635"/>
      <c r="AC148" s="671"/>
      <c r="AD148" s="642"/>
      <c r="AE148" s="671"/>
      <c r="AF148" s="642"/>
      <c r="AG148" s="671"/>
      <c r="AH148" s="635"/>
      <c r="AI148" s="672"/>
      <c r="AJ148" s="673"/>
      <c r="AK148" s="658">
        <f t="shared" si="16"/>
        <v>0</v>
      </c>
      <c r="AL148" s="635"/>
      <c r="AM148" s="653">
        <v>180</v>
      </c>
      <c r="AN148" s="653">
        <v>0</v>
      </c>
      <c r="AO148" s="653">
        <v>180</v>
      </c>
      <c r="AP148" s="650">
        <v>0.2036</v>
      </c>
      <c r="AQ148" s="652">
        <f t="shared" si="33"/>
        <v>73.296000000000006</v>
      </c>
      <c r="AR148" s="635"/>
      <c r="AS148" s="659">
        <f t="shared" si="30"/>
        <v>92113.969460042106</v>
      </c>
      <c r="AT148" s="643"/>
      <c r="AU148" s="567"/>
      <c r="AV148" s="567"/>
      <c r="AW148" s="567"/>
      <c r="AX148" s="567">
        <f t="shared" si="22"/>
        <v>92113.969460042106</v>
      </c>
      <c r="AY148" s="660"/>
      <c r="AZ148" s="631"/>
      <c r="BA148" s="490"/>
      <c r="BE148" s="480">
        <v>11245.663060042105</v>
      </c>
      <c r="BF148" s="570">
        <f t="shared" si="34"/>
        <v>0</v>
      </c>
    </row>
    <row r="149" spans="1:58" s="645" customFormat="1" ht="15" x14ac:dyDescent="0.25">
      <c r="A149" s="683" t="s">
        <v>864</v>
      </c>
      <c r="B149" s="644"/>
      <c r="C149" s="684" t="s">
        <v>865</v>
      </c>
      <c r="D149" s="635">
        <v>478943</v>
      </c>
      <c r="E149" s="663"/>
      <c r="F149" s="664"/>
      <c r="G149" s="551">
        <v>1440</v>
      </c>
      <c r="H149" s="551">
        <v>1470</v>
      </c>
      <c r="I149" s="551">
        <v>1440</v>
      </c>
      <c r="J149" s="649">
        <f t="shared" si="21"/>
        <v>4350</v>
      </c>
      <c r="K149" s="668"/>
      <c r="L149" s="669">
        <f t="shared" si="14"/>
        <v>4350</v>
      </c>
      <c r="M149" s="668" t="s">
        <v>251</v>
      </c>
      <c r="N149" s="553">
        <v>3.6804985850845933</v>
      </c>
      <c r="O149" s="670">
        <f t="shared" si="15"/>
        <v>16010</v>
      </c>
      <c r="P149" s="640"/>
      <c r="Q149" s="653">
        <v>0</v>
      </c>
      <c r="R149" s="653">
        <v>2520</v>
      </c>
      <c r="S149" s="653">
        <v>0</v>
      </c>
      <c r="T149" s="650">
        <v>0.2036</v>
      </c>
      <c r="U149" s="652">
        <f t="shared" si="31"/>
        <v>513.072</v>
      </c>
      <c r="V149" s="640"/>
      <c r="W149" s="653">
        <v>0</v>
      </c>
      <c r="X149" s="653">
        <v>0</v>
      </c>
      <c r="Y149" s="653">
        <v>0</v>
      </c>
      <c r="Z149" s="650">
        <v>1.7611399999999999</v>
      </c>
      <c r="AA149" s="654">
        <f t="shared" si="32"/>
        <v>0</v>
      </c>
      <c r="AB149" s="635"/>
      <c r="AC149" s="671"/>
      <c r="AD149" s="642"/>
      <c r="AE149" s="671"/>
      <c r="AF149" s="642"/>
      <c r="AG149" s="671"/>
      <c r="AH149" s="635"/>
      <c r="AI149" s="672"/>
      <c r="AJ149" s="673"/>
      <c r="AK149" s="658">
        <v>0</v>
      </c>
      <c r="AL149" s="635"/>
      <c r="AM149" s="653">
        <v>0</v>
      </c>
      <c r="AN149" s="653">
        <v>420</v>
      </c>
      <c r="AO149" s="653">
        <v>0</v>
      </c>
      <c r="AP149" s="650">
        <v>0.2036</v>
      </c>
      <c r="AQ149" s="652">
        <f t="shared" si="33"/>
        <v>85.512</v>
      </c>
      <c r="AR149" s="635"/>
      <c r="AS149" s="659">
        <f t="shared" si="30"/>
        <v>16608.583999999999</v>
      </c>
      <c r="AT149" s="643"/>
      <c r="AU149" s="567"/>
      <c r="AV149" s="567"/>
      <c r="AW149" s="567"/>
      <c r="AX149" s="567">
        <f t="shared" si="22"/>
        <v>16608.583999999999</v>
      </c>
      <c r="AY149" s="660"/>
      <c r="BA149" s="490"/>
      <c r="BE149" s="480">
        <v>513.072</v>
      </c>
      <c r="BF149" s="570">
        <f t="shared" si="34"/>
        <v>0</v>
      </c>
    </row>
    <row r="150" spans="1:58" s="645" customFormat="1" ht="15" x14ac:dyDescent="0.25">
      <c r="A150" s="644" t="s">
        <v>321</v>
      </c>
      <c r="B150" s="644" t="s">
        <v>273</v>
      </c>
      <c r="C150" s="646" t="s">
        <v>322</v>
      </c>
      <c r="D150" s="635">
        <v>406182</v>
      </c>
      <c r="E150" s="663"/>
      <c r="F150" s="664"/>
      <c r="G150" s="551">
        <v>2868</v>
      </c>
      <c r="H150" s="551">
        <v>2100</v>
      </c>
      <c r="I150" s="551">
        <v>1260</v>
      </c>
      <c r="J150" s="649">
        <f t="shared" si="21"/>
        <v>6228</v>
      </c>
      <c r="K150" s="668"/>
      <c r="L150" s="669">
        <f t="shared" si="14"/>
        <v>6228</v>
      </c>
      <c r="M150" s="668" t="s">
        <v>266</v>
      </c>
      <c r="N150" s="553">
        <v>3.6804985850845933</v>
      </c>
      <c r="O150" s="670">
        <f t="shared" si="15"/>
        <v>22922</v>
      </c>
      <c r="P150" s="640"/>
      <c r="Q150" s="653">
        <v>0</v>
      </c>
      <c r="R150" s="653">
        <v>0</v>
      </c>
      <c r="S150" s="653">
        <v>242.94315789473683</v>
      </c>
      <c r="T150" s="650">
        <v>0.2036</v>
      </c>
      <c r="U150" s="652">
        <f t="shared" si="31"/>
        <v>49.463226947368419</v>
      </c>
      <c r="V150" s="640"/>
      <c r="W150" s="653">
        <v>0</v>
      </c>
      <c r="X150" s="653">
        <v>0</v>
      </c>
      <c r="Y150" s="653">
        <v>0</v>
      </c>
      <c r="Z150" s="650">
        <v>1.7611399999999999</v>
      </c>
      <c r="AA150" s="654">
        <f t="shared" si="32"/>
        <v>0</v>
      </c>
      <c r="AB150" s="635"/>
      <c r="AC150" s="671"/>
      <c r="AD150" s="642"/>
      <c r="AE150" s="671"/>
      <c r="AF150" s="642"/>
      <c r="AG150" s="671"/>
      <c r="AH150" s="635"/>
      <c r="AI150" s="672"/>
      <c r="AJ150" s="673"/>
      <c r="AK150" s="658">
        <f t="shared" si="16"/>
        <v>0</v>
      </c>
      <c r="AL150" s="635"/>
      <c r="AM150" s="653">
        <v>540</v>
      </c>
      <c r="AN150" s="653">
        <v>0</v>
      </c>
      <c r="AO150" s="653">
        <v>540</v>
      </c>
      <c r="AP150" s="650">
        <v>0.2036</v>
      </c>
      <c r="AQ150" s="652">
        <f t="shared" si="33"/>
        <v>219.88800000000001</v>
      </c>
      <c r="AR150" s="635"/>
      <c r="AS150" s="659">
        <f t="shared" si="30"/>
        <v>23191.351226947369</v>
      </c>
      <c r="AT150" s="643"/>
      <c r="AU150" s="567"/>
      <c r="AV150" s="567"/>
      <c r="AW150" s="567"/>
      <c r="AX150" s="567">
        <f t="shared" si="22"/>
        <v>23191.351226947369</v>
      </c>
      <c r="AY150" s="660"/>
      <c r="BA150" s="490"/>
      <c r="BE150" s="480">
        <v>49.463226947368419</v>
      </c>
      <c r="BF150" s="570">
        <f t="shared" si="34"/>
        <v>0</v>
      </c>
    </row>
    <row r="151" spans="1:58" s="645" customFormat="1" ht="15" x14ac:dyDescent="0.25">
      <c r="A151" s="681" t="s">
        <v>323</v>
      </c>
      <c r="B151" s="644"/>
      <c r="C151" s="662" t="s">
        <v>324</v>
      </c>
      <c r="D151" s="635">
        <v>440937</v>
      </c>
      <c r="E151" s="663"/>
      <c r="F151" s="664"/>
      <c r="G151" s="551">
        <v>6840</v>
      </c>
      <c r="H151" s="551">
        <v>4410</v>
      </c>
      <c r="I151" s="551">
        <v>5760</v>
      </c>
      <c r="J151" s="649">
        <f t="shared" si="21"/>
        <v>17010</v>
      </c>
      <c r="K151" s="668"/>
      <c r="L151" s="669">
        <f t="shared" si="14"/>
        <v>17010</v>
      </c>
      <c r="M151" s="668" t="s">
        <v>251</v>
      </c>
      <c r="N151" s="553">
        <v>3.6804985850845933</v>
      </c>
      <c r="O151" s="670">
        <f t="shared" si="15"/>
        <v>62605</v>
      </c>
      <c r="P151" s="640"/>
      <c r="Q151" s="653">
        <v>22644</v>
      </c>
      <c r="R151" s="653">
        <v>10920</v>
      </c>
      <c r="S151" s="653">
        <v>15807.501473684211</v>
      </c>
      <c r="T151" s="650">
        <v>0.2036</v>
      </c>
      <c r="U151" s="652">
        <f t="shared" si="31"/>
        <v>10052.037700042107</v>
      </c>
      <c r="V151" s="640"/>
      <c r="W151" s="653">
        <v>1260</v>
      </c>
      <c r="X151" s="653">
        <v>0</v>
      </c>
      <c r="Y151" s="653">
        <v>1260</v>
      </c>
      <c r="Z151" s="650">
        <v>1.7611399999999999</v>
      </c>
      <c r="AA151" s="654">
        <f t="shared" si="32"/>
        <v>4438.0727999999999</v>
      </c>
      <c r="AB151" s="635"/>
      <c r="AC151" s="671"/>
      <c r="AD151" s="642"/>
      <c r="AE151" s="671"/>
      <c r="AF151" s="642"/>
      <c r="AG151" s="671"/>
      <c r="AH151" s="635"/>
      <c r="AI151" s="672"/>
      <c r="AJ151" s="673"/>
      <c r="AK151" s="658">
        <f t="shared" si="16"/>
        <v>0</v>
      </c>
      <c r="AL151" s="635"/>
      <c r="AM151" s="653">
        <v>1920</v>
      </c>
      <c r="AN151" s="653">
        <v>1470</v>
      </c>
      <c r="AO151" s="653">
        <v>1920</v>
      </c>
      <c r="AP151" s="650">
        <v>0.2036</v>
      </c>
      <c r="AQ151" s="652">
        <f t="shared" si="33"/>
        <v>1081.116</v>
      </c>
      <c r="AR151" s="635"/>
      <c r="AS151" s="659">
        <f t="shared" si="30"/>
        <v>78176.226500042103</v>
      </c>
      <c r="AT151" s="643"/>
      <c r="AU151" s="567"/>
      <c r="AV151" s="567"/>
      <c r="AW151" s="567"/>
      <c r="AX151" s="567">
        <f t="shared" si="22"/>
        <v>78176.226500042103</v>
      </c>
      <c r="AY151" s="660"/>
      <c r="BA151" s="490"/>
      <c r="BE151" s="480">
        <v>10052.037700042107</v>
      </c>
      <c r="BF151" s="570">
        <f t="shared" si="34"/>
        <v>0</v>
      </c>
    </row>
    <row r="152" spans="1:58" s="645" customFormat="1" ht="15" x14ac:dyDescent="0.25">
      <c r="A152" s="716" t="s">
        <v>325</v>
      </c>
      <c r="B152" s="644" t="s">
        <v>326</v>
      </c>
      <c r="C152" s="646">
        <v>206133</v>
      </c>
      <c r="D152" s="635">
        <v>206133</v>
      </c>
      <c r="E152" s="663"/>
      <c r="F152" s="664"/>
      <c r="G152" s="551">
        <v>0</v>
      </c>
      <c r="H152" s="551">
        <v>0</v>
      </c>
      <c r="I152" s="551">
        <v>0</v>
      </c>
      <c r="J152" s="649">
        <f t="shared" si="21"/>
        <v>0</v>
      </c>
      <c r="K152" s="668"/>
      <c r="L152" s="669">
        <f t="shared" si="14"/>
        <v>0</v>
      </c>
      <c r="M152" s="668" t="s">
        <v>266</v>
      </c>
      <c r="N152" s="553">
        <v>3.6804985850845933</v>
      </c>
      <c r="O152" s="670">
        <f t="shared" si="15"/>
        <v>0</v>
      </c>
      <c r="P152" s="640"/>
      <c r="Q152" s="653">
        <v>0</v>
      </c>
      <c r="R152" s="653">
        <v>0</v>
      </c>
      <c r="S152" s="653">
        <v>0</v>
      </c>
      <c r="T152" s="650">
        <v>0.2036</v>
      </c>
      <c r="U152" s="652">
        <f t="shared" si="31"/>
        <v>0</v>
      </c>
      <c r="V152" s="640"/>
      <c r="W152" s="653">
        <v>0</v>
      </c>
      <c r="X152" s="653">
        <v>0</v>
      </c>
      <c r="Y152" s="653">
        <v>0</v>
      </c>
      <c r="Z152" s="650">
        <v>1.7611399999999999</v>
      </c>
      <c r="AA152" s="654">
        <f t="shared" si="32"/>
        <v>0</v>
      </c>
      <c r="AB152" s="635"/>
      <c r="AC152" s="671"/>
      <c r="AD152" s="642"/>
      <c r="AE152" s="671"/>
      <c r="AF152" s="642"/>
      <c r="AG152" s="671"/>
      <c r="AH152" s="635"/>
      <c r="AI152" s="672"/>
      <c r="AJ152" s="673"/>
      <c r="AK152" s="658">
        <f t="shared" si="16"/>
        <v>0</v>
      </c>
      <c r="AL152" s="635"/>
      <c r="AM152" s="653">
        <v>0</v>
      </c>
      <c r="AN152" s="653">
        <v>0</v>
      </c>
      <c r="AO152" s="653">
        <v>0</v>
      </c>
      <c r="AP152" s="650">
        <v>0.2036</v>
      </c>
      <c r="AQ152" s="652">
        <f t="shared" si="33"/>
        <v>0</v>
      </c>
      <c r="AR152" s="635"/>
      <c r="AS152" s="717">
        <f t="shared" si="30"/>
        <v>0</v>
      </c>
      <c r="AT152" s="643"/>
      <c r="AU152" s="567"/>
      <c r="AV152" s="567"/>
      <c r="AW152" s="567"/>
      <c r="AX152" s="567">
        <f t="shared" si="22"/>
        <v>0</v>
      </c>
      <c r="AY152" s="718" t="s">
        <v>866</v>
      </c>
      <c r="BA152" s="490"/>
      <c r="BE152" s="480">
        <v>0</v>
      </c>
      <c r="BF152" s="570">
        <f t="shared" si="34"/>
        <v>0</v>
      </c>
    </row>
    <row r="153" spans="1:58" s="645" customFormat="1" ht="15" x14ac:dyDescent="0.25">
      <c r="A153" s="719" t="s">
        <v>867</v>
      </c>
      <c r="B153" s="644"/>
      <c r="C153" s="684" t="s">
        <v>868</v>
      </c>
      <c r="D153" s="635">
        <v>477956</v>
      </c>
      <c r="E153" s="663"/>
      <c r="F153" s="664"/>
      <c r="G153" s="551">
        <v>3960</v>
      </c>
      <c r="H153" s="551">
        <v>4620</v>
      </c>
      <c r="I153" s="551">
        <v>3960</v>
      </c>
      <c r="J153" s="649">
        <f t="shared" si="21"/>
        <v>12540</v>
      </c>
      <c r="K153" s="668"/>
      <c r="L153" s="669">
        <f t="shared" si="14"/>
        <v>12540</v>
      </c>
      <c r="M153" s="668" t="s">
        <v>251</v>
      </c>
      <c r="N153" s="553">
        <v>3.6804985850845933</v>
      </c>
      <c r="O153" s="670">
        <f t="shared" si="15"/>
        <v>46153</v>
      </c>
      <c r="P153" s="640"/>
      <c r="Q153" s="653">
        <v>0</v>
      </c>
      <c r="R153" s="653">
        <v>7182</v>
      </c>
      <c r="S153" s="653">
        <v>0</v>
      </c>
      <c r="T153" s="650">
        <v>0.2036</v>
      </c>
      <c r="U153" s="652">
        <f t="shared" si="31"/>
        <v>1462.2552000000001</v>
      </c>
      <c r="V153" s="640"/>
      <c r="W153" s="653">
        <v>0</v>
      </c>
      <c r="X153" s="653">
        <v>0</v>
      </c>
      <c r="Y153" s="653">
        <v>0</v>
      </c>
      <c r="Z153" s="650">
        <v>1.7611399999999999</v>
      </c>
      <c r="AA153" s="654">
        <f t="shared" si="32"/>
        <v>0</v>
      </c>
      <c r="AB153" s="635"/>
      <c r="AC153" s="671"/>
      <c r="AD153" s="642"/>
      <c r="AE153" s="671"/>
      <c r="AF153" s="642"/>
      <c r="AG153" s="671"/>
      <c r="AH153" s="635"/>
      <c r="AI153" s="672"/>
      <c r="AJ153" s="673"/>
      <c r="AK153" s="658">
        <f t="shared" si="16"/>
        <v>0</v>
      </c>
      <c r="AL153" s="635"/>
      <c r="AM153" s="653">
        <v>0</v>
      </c>
      <c r="AN153" s="653">
        <v>0</v>
      </c>
      <c r="AO153" s="653">
        <v>0</v>
      </c>
      <c r="AP153" s="650">
        <v>0.2036</v>
      </c>
      <c r="AQ153" s="652">
        <f t="shared" si="33"/>
        <v>0</v>
      </c>
      <c r="AR153" s="635"/>
      <c r="AS153" s="659">
        <f t="shared" si="30"/>
        <v>47615.2552</v>
      </c>
      <c r="AT153" s="643"/>
      <c r="AU153" s="567"/>
      <c r="AV153" s="567"/>
      <c r="AW153" s="567"/>
      <c r="AX153" s="567">
        <f t="shared" si="22"/>
        <v>47615.2552</v>
      </c>
      <c r="AY153" s="660"/>
      <c r="BA153" s="490"/>
      <c r="BE153" s="480">
        <v>1462.2552000000001</v>
      </c>
      <c r="BF153" s="570">
        <f t="shared" si="34"/>
        <v>0</v>
      </c>
    </row>
    <row r="154" spans="1:58" s="645" customFormat="1" ht="15" x14ac:dyDescent="0.25">
      <c r="A154" s="644" t="s">
        <v>327</v>
      </c>
      <c r="B154" s="644" t="s">
        <v>328</v>
      </c>
      <c r="C154" s="646" t="s">
        <v>329</v>
      </c>
      <c r="D154" s="635">
        <v>384884</v>
      </c>
      <c r="E154" s="663"/>
      <c r="F154" s="664"/>
      <c r="G154" s="551">
        <v>0</v>
      </c>
      <c r="H154" s="551">
        <v>0</v>
      </c>
      <c r="I154" s="551">
        <v>0</v>
      </c>
      <c r="J154" s="649">
        <f t="shared" si="21"/>
        <v>0</v>
      </c>
      <c r="K154" s="668"/>
      <c r="L154" s="669">
        <f t="shared" si="14"/>
        <v>0</v>
      </c>
      <c r="M154" s="668" t="s">
        <v>251</v>
      </c>
      <c r="N154" s="553">
        <v>3.6804985850845933</v>
      </c>
      <c r="O154" s="670">
        <f t="shared" si="15"/>
        <v>0</v>
      </c>
      <c r="P154" s="640"/>
      <c r="Q154" s="653">
        <v>0</v>
      </c>
      <c r="R154" s="653">
        <v>0</v>
      </c>
      <c r="S154" s="653">
        <v>0</v>
      </c>
      <c r="T154" s="650">
        <v>0.2036</v>
      </c>
      <c r="U154" s="652">
        <f t="shared" si="31"/>
        <v>0</v>
      </c>
      <c r="V154" s="640"/>
      <c r="W154" s="653">
        <v>0</v>
      </c>
      <c r="X154" s="653">
        <v>0</v>
      </c>
      <c r="Y154" s="653">
        <v>0</v>
      </c>
      <c r="Z154" s="650">
        <v>1.7611399999999999</v>
      </c>
      <c r="AA154" s="654">
        <f t="shared" si="32"/>
        <v>0</v>
      </c>
      <c r="AB154" s="635"/>
      <c r="AC154" s="671"/>
      <c r="AD154" s="642"/>
      <c r="AE154" s="671"/>
      <c r="AF154" s="642"/>
      <c r="AG154" s="671"/>
      <c r="AH154" s="635"/>
      <c r="AI154" s="672"/>
      <c r="AJ154" s="673"/>
      <c r="AK154" s="658">
        <f t="shared" si="16"/>
        <v>0</v>
      </c>
      <c r="AL154" s="635"/>
      <c r="AM154" s="653">
        <v>0</v>
      </c>
      <c r="AN154" s="653">
        <v>0</v>
      </c>
      <c r="AO154" s="653">
        <v>0</v>
      </c>
      <c r="AP154" s="650">
        <v>0.2036</v>
      </c>
      <c r="AQ154" s="652">
        <f t="shared" si="33"/>
        <v>0</v>
      </c>
      <c r="AR154" s="635"/>
      <c r="AS154" s="659">
        <f t="shared" si="30"/>
        <v>0</v>
      </c>
      <c r="AT154" s="643"/>
      <c r="AU154" s="567"/>
      <c r="AV154" s="567"/>
      <c r="AW154" s="567"/>
      <c r="AX154" s="567">
        <f t="shared" si="22"/>
        <v>0</v>
      </c>
      <c r="AY154" s="660"/>
      <c r="AZ154" s="631"/>
      <c r="BA154" s="490"/>
      <c r="BE154" s="480">
        <v>0</v>
      </c>
      <c r="BF154" s="570">
        <f t="shared" si="34"/>
        <v>0</v>
      </c>
    </row>
    <row r="155" spans="1:58" s="645" customFormat="1" ht="15" x14ac:dyDescent="0.25">
      <c r="A155" s="644" t="s">
        <v>330</v>
      </c>
      <c r="B155" s="644" t="s">
        <v>331</v>
      </c>
      <c r="C155" s="646">
        <v>206134</v>
      </c>
      <c r="D155" s="635">
        <v>206134</v>
      </c>
      <c r="E155" s="663"/>
      <c r="F155" s="664"/>
      <c r="G155" s="551">
        <v>6600</v>
      </c>
      <c r="H155" s="551">
        <v>5600</v>
      </c>
      <c r="I155" s="551">
        <v>6800</v>
      </c>
      <c r="J155" s="649">
        <f t="shared" si="21"/>
        <v>19000</v>
      </c>
      <c r="K155" s="668"/>
      <c r="L155" s="669">
        <f t="shared" si="14"/>
        <v>19000</v>
      </c>
      <c r="M155" s="668" t="s">
        <v>266</v>
      </c>
      <c r="N155" s="553">
        <v>3.6804985850845933</v>
      </c>
      <c r="O155" s="670">
        <f t="shared" si="15"/>
        <v>69929</v>
      </c>
      <c r="P155" s="640"/>
      <c r="Q155" s="653">
        <v>1404</v>
      </c>
      <c r="R155" s="653">
        <v>1092</v>
      </c>
      <c r="S155" s="653">
        <v>3609.7304210526308</v>
      </c>
      <c r="T155" s="650">
        <v>0.2036</v>
      </c>
      <c r="U155" s="652">
        <f t="shared" si="31"/>
        <v>1243.1267137263158</v>
      </c>
      <c r="V155" s="640"/>
      <c r="W155" s="653">
        <v>0</v>
      </c>
      <c r="X155" s="653">
        <v>0</v>
      </c>
      <c r="Y155" s="653">
        <v>0</v>
      </c>
      <c r="Z155" s="650">
        <v>1.7611399999999999</v>
      </c>
      <c r="AA155" s="654">
        <f t="shared" si="32"/>
        <v>0</v>
      </c>
      <c r="AB155" s="635"/>
      <c r="AC155" s="671"/>
      <c r="AD155" s="642"/>
      <c r="AE155" s="671"/>
      <c r="AF155" s="642"/>
      <c r="AG155" s="671"/>
      <c r="AH155" s="635"/>
      <c r="AI155" s="672"/>
      <c r="AJ155" s="673"/>
      <c r="AK155" s="658">
        <f t="shared" si="16"/>
        <v>0</v>
      </c>
      <c r="AL155" s="635"/>
      <c r="AM155" s="653">
        <v>1080</v>
      </c>
      <c r="AN155" s="653">
        <v>0</v>
      </c>
      <c r="AO155" s="653">
        <v>1080</v>
      </c>
      <c r="AP155" s="650">
        <v>0.2036</v>
      </c>
      <c r="AQ155" s="652">
        <f t="shared" si="33"/>
        <v>439.77600000000001</v>
      </c>
      <c r="AR155" s="635"/>
      <c r="AS155" s="659">
        <f t="shared" si="30"/>
        <v>71611.902713726318</v>
      </c>
      <c r="AT155" s="643"/>
      <c r="AU155" s="567"/>
      <c r="AV155" s="567"/>
      <c r="AW155" s="567"/>
      <c r="AX155" s="567">
        <f t="shared" si="22"/>
        <v>71611.902713726318</v>
      </c>
      <c r="AY155" s="660"/>
      <c r="AZ155" s="631"/>
      <c r="BA155" s="490"/>
      <c r="BE155" s="480">
        <v>1243.1267137263158</v>
      </c>
      <c r="BF155" s="570">
        <f t="shared" si="34"/>
        <v>0</v>
      </c>
    </row>
    <row r="156" spans="1:58" s="645" customFormat="1" ht="15" x14ac:dyDescent="0.25">
      <c r="A156" s="674" t="s">
        <v>332</v>
      </c>
      <c r="B156" s="720"/>
      <c r="C156" s="721" t="s">
        <v>333</v>
      </c>
      <c r="D156" s="635">
        <v>285324</v>
      </c>
      <c r="E156" s="663"/>
      <c r="F156" s="664"/>
      <c r="G156" s="551">
        <v>8415</v>
      </c>
      <c r="H156" s="551">
        <v>8064</v>
      </c>
      <c r="I156" s="551">
        <v>8064</v>
      </c>
      <c r="J156" s="649">
        <f t="shared" si="21"/>
        <v>24543</v>
      </c>
      <c r="K156" s="668"/>
      <c r="L156" s="669">
        <f t="shared" si="14"/>
        <v>24543</v>
      </c>
      <c r="M156" s="668" t="s">
        <v>251</v>
      </c>
      <c r="N156" s="553">
        <v>3.6804985850845933</v>
      </c>
      <c r="O156" s="670">
        <f t="shared" si="15"/>
        <v>90330</v>
      </c>
      <c r="P156" s="640"/>
      <c r="Q156" s="653">
        <v>0</v>
      </c>
      <c r="R156" s="653">
        <v>0</v>
      </c>
      <c r="S156" s="653">
        <v>1591.952526315788</v>
      </c>
      <c r="T156" s="650">
        <v>0.2036</v>
      </c>
      <c r="U156" s="652">
        <f t="shared" si="31"/>
        <v>324.12153435789446</v>
      </c>
      <c r="V156" s="640"/>
      <c r="W156" s="653">
        <v>0</v>
      </c>
      <c r="X156" s="653">
        <v>0</v>
      </c>
      <c r="Y156" s="653">
        <v>0</v>
      </c>
      <c r="Z156" s="650">
        <v>1.7611399999999999</v>
      </c>
      <c r="AA156" s="654">
        <f t="shared" si="32"/>
        <v>0</v>
      </c>
      <c r="AB156" s="635"/>
      <c r="AC156" s="671"/>
      <c r="AD156" s="642"/>
      <c r="AE156" s="671"/>
      <c r="AF156" s="642"/>
      <c r="AG156" s="671"/>
      <c r="AH156" s="635"/>
      <c r="AI156" s="672"/>
      <c r="AJ156" s="673"/>
      <c r="AK156" s="658">
        <f t="shared" si="16"/>
        <v>0</v>
      </c>
      <c r="AL156" s="635"/>
      <c r="AM156" s="653">
        <v>0</v>
      </c>
      <c r="AN156" s="653">
        <v>0</v>
      </c>
      <c r="AO156" s="653">
        <v>0</v>
      </c>
      <c r="AP156" s="650">
        <v>0.2036</v>
      </c>
      <c r="AQ156" s="652">
        <f t="shared" si="33"/>
        <v>0</v>
      </c>
      <c r="AR156" s="635"/>
      <c r="AS156" s="659">
        <f t="shared" si="30"/>
        <v>90654.121534357895</v>
      </c>
      <c r="AT156" s="643"/>
      <c r="AU156" s="567"/>
      <c r="AV156" s="567"/>
      <c r="AW156" s="567"/>
      <c r="AX156" s="567">
        <f t="shared" si="22"/>
        <v>90654.121534357895</v>
      </c>
      <c r="AY156" s="660"/>
      <c r="AZ156" s="631"/>
      <c r="BA156" s="490"/>
      <c r="BE156" s="480">
        <v>324.12153435789446</v>
      </c>
      <c r="BF156" s="570">
        <f t="shared" si="34"/>
        <v>0</v>
      </c>
    </row>
    <row r="157" spans="1:58" s="645" customFormat="1" ht="15" x14ac:dyDescent="0.25">
      <c r="A157" s="644" t="s">
        <v>334</v>
      </c>
      <c r="B157" s="644"/>
      <c r="C157" s="646" t="s">
        <v>335</v>
      </c>
      <c r="D157" s="635">
        <v>285337</v>
      </c>
      <c r="E157" s="663"/>
      <c r="F157" s="664"/>
      <c r="G157" s="551">
        <v>8388</v>
      </c>
      <c r="H157" s="551">
        <v>7560</v>
      </c>
      <c r="I157" s="551">
        <v>7272</v>
      </c>
      <c r="J157" s="649">
        <f t="shared" si="21"/>
        <v>23220</v>
      </c>
      <c r="K157" s="668"/>
      <c r="L157" s="669">
        <f t="shared" si="14"/>
        <v>23220</v>
      </c>
      <c r="M157" s="668" t="s">
        <v>251</v>
      </c>
      <c r="N157" s="553">
        <v>3.6804985850845933</v>
      </c>
      <c r="O157" s="670">
        <f t="shared" si="15"/>
        <v>85461</v>
      </c>
      <c r="P157" s="640"/>
      <c r="Q157" s="653">
        <v>900</v>
      </c>
      <c r="R157" s="653">
        <v>2310</v>
      </c>
      <c r="S157" s="653">
        <v>1633.7927368421053</v>
      </c>
      <c r="T157" s="650">
        <v>0.2036</v>
      </c>
      <c r="U157" s="652">
        <f t="shared" si="31"/>
        <v>986.19620122105266</v>
      </c>
      <c r="V157" s="640"/>
      <c r="W157" s="653">
        <v>0</v>
      </c>
      <c r="X157" s="653">
        <v>210</v>
      </c>
      <c r="Y157" s="653">
        <v>0</v>
      </c>
      <c r="Z157" s="650">
        <v>1.7611399999999999</v>
      </c>
      <c r="AA157" s="654">
        <f t="shared" si="32"/>
        <v>369.83940000000001</v>
      </c>
      <c r="AB157" s="635"/>
      <c r="AC157" s="671"/>
      <c r="AD157" s="642"/>
      <c r="AE157" s="671"/>
      <c r="AF157" s="642"/>
      <c r="AG157" s="671"/>
      <c r="AH157" s="635"/>
      <c r="AI157" s="672"/>
      <c r="AJ157" s="673"/>
      <c r="AK157" s="658">
        <f t="shared" si="16"/>
        <v>0</v>
      </c>
      <c r="AL157" s="635"/>
      <c r="AM157" s="653">
        <v>0</v>
      </c>
      <c r="AN157" s="653">
        <v>0</v>
      </c>
      <c r="AO157" s="653">
        <v>0</v>
      </c>
      <c r="AP157" s="650">
        <v>0.2036</v>
      </c>
      <c r="AQ157" s="652">
        <f t="shared" si="33"/>
        <v>0</v>
      </c>
      <c r="AR157" s="635"/>
      <c r="AS157" s="659">
        <f t="shared" si="30"/>
        <v>86817.035601221054</v>
      </c>
      <c r="AT157" s="643"/>
      <c r="AU157" s="567"/>
      <c r="AV157" s="567"/>
      <c r="AW157" s="567"/>
      <c r="AX157" s="567">
        <f t="shared" si="22"/>
        <v>86817.035601221054</v>
      </c>
      <c r="AY157" s="660"/>
      <c r="AZ157" s="631"/>
      <c r="BA157" s="490"/>
      <c r="BE157" s="480">
        <v>986.19620122105266</v>
      </c>
      <c r="BF157" s="570">
        <f t="shared" si="34"/>
        <v>0</v>
      </c>
    </row>
    <row r="158" spans="1:58" s="645" customFormat="1" ht="15" x14ac:dyDescent="0.25">
      <c r="A158" s="644" t="s">
        <v>336</v>
      </c>
      <c r="B158" s="644"/>
      <c r="C158" s="646" t="s">
        <v>337</v>
      </c>
      <c r="D158" s="635">
        <v>371448</v>
      </c>
      <c r="E158" s="663"/>
      <c r="F158" s="664"/>
      <c r="G158" s="551">
        <v>5508</v>
      </c>
      <c r="H158" s="551">
        <v>4872</v>
      </c>
      <c r="I158" s="551">
        <v>3312</v>
      </c>
      <c r="J158" s="649">
        <f t="shared" si="21"/>
        <v>13692</v>
      </c>
      <c r="K158" s="668"/>
      <c r="L158" s="669">
        <f t="shared" si="14"/>
        <v>13692</v>
      </c>
      <c r="M158" s="668" t="s">
        <v>251</v>
      </c>
      <c r="N158" s="553">
        <v>3.6804985850845933</v>
      </c>
      <c r="O158" s="670">
        <f t="shared" si="15"/>
        <v>50393</v>
      </c>
      <c r="P158" s="640"/>
      <c r="Q158" s="653">
        <v>2340</v>
      </c>
      <c r="R158" s="653">
        <v>1470</v>
      </c>
      <c r="S158" s="653">
        <v>1664.1606315789472</v>
      </c>
      <c r="T158" s="650">
        <v>0.2036</v>
      </c>
      <c r="U158" s="652">
        <f t="shared" si="31"/>
        <v>1114.5391045894735</v>
      </c>
      <c r="V158" s="640"/>
      <c r="W158" s="653">
        <v>180</v>
      </c>
      <c r="X158" s="653">
        <v>0</v>
      </c>
      <c r="Y158" s="653">
        <v>180</v>
      </c>
      <c r="Z158" s="650">
        <v>1.7611399999999999</v>
      </c>
      <c r="AA158" s="654">
        <f t="shared" si="32"/>
        <v>634.0104</v>
      </c>
      <c r="AB158" s="635"/>
      <c r="AC158" s="671"/>
      <c r="AD158" s="642"/>
      <c r="AE158" s="671"/>
      <c r="AF158" s="642"/>
      <c r="AG158" s="671"/>
      <c r="AH158" s="635"/>
      <c r="AI158" s="672"/>
      <c r="AJ158" s="673"/>
      <c r="AK158" s="658">
        <f t="shared" si="16"/>
        <v>0</v>
      </c>
      <c r="AL158" s="635"/>
      <c r="AM158" s="653">
        <v>0</v>
      </c>
      <c r="AN158" s="653">
        <v>0</v>
      </c>
      <c r="AO158" s="653">
        <v>0</v>
      </c>
      <c r="AP158" s="650">
        <v>0.2036</v>
      </c>
      <c r="AQ158" s="652">
        <f t="shared" si="33"/>
        <v>0</v>
      </c>
      <c r="AR158" s="635"/>
      <c r="AS158" s="659">
        <f t="shared" si="30"/>
        <v>52141.549504589471</v>
      </c>
      <c r="AT158" s="643"/>
      <c r="AU158" s="567"/>
      <c r="AV158" s="567"/>
      <c r="AW158" s="567"/>
      <c r="AX158" s="567">
        <f t="shared" si="22"/>
        <v>52141.549504589471</v>
      </c>
      <c r="AY158" s="660"/>
      <c r="AZ158" s="631"/>
      <c r="BA158" s="490"/>
      <c r="BE158" s="480">
        <v>1114.5391045894735</v>
      </c>
      <c r="BF158" s="570">
        <f t="shared" si="34"/>
        <v>0</v>
      </c>
    </row>
    <row r="159" spans="1:58" s="645" customFormat="1" ht="15" x14ac:dyDescent="0.25">
      <c r="A159" s="644" t="s">
        <v>338</v>
      </c>
      <c r="B159" s="644" t="s">
        <v>339</v>
      </c>
      <c r="C159" s="646">
        <v>206109</v>
      </c>
      <c r="D159" s="635">
        <v>206109</v>
      </c>
      <c r="E159" s="663"/>
      <c r="F159" s="664"/>
      <c r="G159" s="551">
        <v>10440</v>
      </c>
      <c r="H159" s="551">
        <v>9450</v>
      </c>
      <c r="I159" s="551">
        <v>9720</v>
      </c>
      <c r="J159" s="649">
        <f t="shared" si="21"/>
        <v>29610</v>
      </c>
      <c r="K159" s="668"/>
      <c r="L159" s="669">
        <f t="shared" si="14"/>
        <v>29610</v>
      </c>
      <c r="M159" s="668" t="s">
        <v>251</v>
      </c>
      <c r="N159" s="553">
        <v>3.6804985850845933</v>
      </c>
      <c r="O159" s="670">
        <f t="shared" si="15"/>
        <v>108980</v>
      </c>
      <c r="P159" s="640"/>
      <c r="Q159" s="653">
        <v>1440</v>
      </c>
      <c r="R159" s="653">
        <v>1449</v>
      </c>
      <c r="S159" s="653">
        <v>2067.0413684210525</v>
      </c>
      <c r="T159" s="650">
        <v>0.2036</v>
      </c>
      <c r="U159" s="652">
        <f t="shared" si="31"/>
        <v>1009.0500226105263</v>
      </c>
      <c r="V159" s="640"/>
      <c r="W159" s="653">
        <v>0</v>
      </c>
      <c r="X159" s="653">
        <v>0</v>
      </c>
      <c r="Y159" s="653">
        <v>0</v>
      </c>
      <c r="Z159" s="650">
        <v>1.7611399999999999</v>
      </c>
      <c r="AA159" s="654">
        <f t="shared" si="32"/>
        <v>0</v>
      </c>
      <c r="AB159" s="635"/>
      <c r="AC159" s="671"/>
      <c r="AD159" s="642"/>
      <c r="AE159" s="671"/>
      <c r="AF159" s="642"/>
      <c r="AG159" s="671"/>
      <c r="AH159" s="635"/>
      <c r="AI159" s="672"/>
      <c r="AJ159" s="673"/>
      <c r="AK159" s="658">
        <f t="shared" si="16"/>
        <v>0</v>
      </c>
      <c r="AL159" s="635"/>
      <c r="AM159" s="653">
        <v>180</v>
      </c>
      <c r="AN159" s="653">
        <v>0</v>
      </c>
      <c r="AO159" s="653">
        <v>180</v>
      </c>
      <c r="AP159" s="650">
        <v>0.2036</v>
      </c>
      <c r="AQ159" s="652">
        <f t="shared" si="33"/>
        <v>73.296000000000006</v>
      </c>
      <c r="AR159" s="635"/>
      <c r="AS159" s="659">
        <f t="shared" si="30"/>
        <v>110062.34602261052</v>
      </c>
      <c r="AT159" s="643"/>
      <c r="AU159" s="567"/>
      <c r="AV159" s="567"/>
      <c r="AW159" s="567"/>
      <c r="AX159" s="567">
        <f t="shared" si="22"/>
        <v>110062.34602261052</v>
      </c>
      <c r="AY159" s="660"/>
      <c r="AZ159" s="631"/>
      <c r="BA159" s="490"/>
      <c r="BE159" s="480">
        <v>1009.0500226105263</v>
      </c>
      <c r="BF159" s="570">
        <f t="shared" si="34"/>
        <v>0</v>
      </c>
    </row>
    <row r="160" spans="1:58" s="645" customFormat="1" ht="15" x14ac:dyDescent="0.25">
      <c r="A160" s="644" t="s">
        <v>340</v>
      </c>
      <c r="B160" s="644" t="s">
        <v>341</v>
      </c>
      <c r="C160" s="646">
        <v>206110</v>
      </c>
      <c r="D160" s="635">
        <v>206110</v>
      </c>
      <c r="E160" s="663"/>
      <c r="F160" s="664"/>
      <c r="G160" s="551">
        <v>5292</v>
      </c>
      <c r="H160" s="551">
        <v>4158</v>
      </c>
      <c r="I160" s="551">
        <v>4860</v>
      </c>
      <c r="J160" s="649">
        <f t="shared" ref="J160:J216" si="35">SUM(G160:I160)</f>
        <v>14310</v>
      </c>
      <c r="K160" s="668"/>
      <c r="L160" s="669">
        <f t="shared" si="14"/>
        <v>14310</v>
      </c>
      <c r="M160" s="668" t="s">
        <v>251</v>
      </c>
      <c r="N160" s="553">
        <v>3.6804985850845933</v>
      </c>
      <c r="O160" s="670">
        <f t="shared" si="15"/>
        <v>52668</v>
      </c>
      <c r="P160" s="640"/>
      <c r="Q160" s="653">
        <v>900</v>
      </c>
      <c r="R160" s="653">
        <v>210</v>
      </c>
      <c r="S160" s="653">
        <v>1528.5173684210524</v>
      </c>
      <c r="T160" s="650">
        <v>0.2036</v>
      </c>
      <c r="U160" s="652">
        <f t="shared" si="31"/>
        <v>537.20213621052619</v>
      </c>
      <c r="V160" s="640"/>
      <c r="W160" s="653">
        <v>0</v>
      </c>
      <c r="X160" s="653">
        <v>0</v>
      </c>
      <c r="Y160" s="653">
        <v>0</v>
      </c>
      <c r="Z160" s="650">
        <v>1.7611399999999999</v>
      </c>
      <c r="AA160" s="654">
        <f t="shared" si="32"/>
        <v>0</v>
      </c>
      <c r="AB160" s="635"/>
      <c r="AC160" s="671"/>
      <c r="AD160" s="642"/>
      <c r="AE160" s="671"/>
      <c r="AF160" s="642"/>
      <c r="AG160" s="671"/>
      <c r="AH160" s="635"/>
      <c r="AI160" s="672"/>
      <c r="AJ160" s="673"/>
      <c r="AK160" s="658">
        <f t="shared" si="16"/>
        <v>0</v>
      </c>
      <c r="AL160" s="635"/>
      <c r="AM160" s="653">
        <v>180</v>
      </c>
      <c r="AN160" s="653">
        <v>210</v>
      </c>
      <c r="AO160" s="653">
        <v>180</v>
      </c>
      <c r="AP160" s="650">
        <v>0.2036</v>
      </c>
      <c r="AQ160" s="652">
        <f t="shared" si="33"/>
        <v>116.05200000000001</v>
      </c>
      <c r="AR160" s="635"/>
      <c r="AS160" s="659">
        <f t="shared" si="30"/>
        <v>53321.254136210526</v>
      </c>
      <c r="AT160" s="643"/>
      <c r="AU160" s="567"/>
      <c r="AV160" s="567"/>
      <c r="AW160" s="567"/>
      <c r="AX160" s="567">
        <f t="shared" ref="AX160:AX217" si="36">AV160+AU160+AS160</f>
        <v>53321.254136210526</v>
      </c>
      <c r="AY160" s="660"/>
      <c r="AZ160" s="631"/>
      <c r="BA160" s="490"/>
      <c r="BE160" s="480">
        <v>537.20213621052619</v>
      </c>
      <c r="BF160" s="570">
        <f t="shared" si="34"/>
        <v>0</v>
      </c>
    </row>
    <row r="161" spans="1:58" s="645" customFormat="1" ht="15" x14ac:dyDescent="0.25">
      <c r="A161" s="644" t="s">
        <v>342</v>
      </c>
      <c r="B161" s="644" t="s">
        <v>343</v>
      </c>
      <c r="C161" s="646">
        <v>206135</v>
      </c>
      <c r="D161" s="635">
        <v>206135</v>
      </c>
      <c r="E161" s="663"/>
      <c r="F161" s="664"/>
      <c r="G161" s="551">
        <v>4452</v>
      </c>
      <c r="H161" s="551">
        <v>5348</v>
      </c>
      <c r="I161" s="551">
        <v>3996</v>
      </c>
      <c r="J161" s="649">
        <f t="shared" si="35"/>
        <v>13796</v>
      </c>
      <c r="K161" s="668"/>
      <c r="L161" s="669">
        <f t="shared" si="14"/>
        <v>13796</v>
      </c>
      <c r="M161" s="668" t="s">
        <v>266</v>
      </c>
      <c r="N161" s="553">
        <v>3.6804985850845933</v>
      </c>
      <c r="O161" s="670">
        <f t="shared" si="15"/>
        <v>50776</v>
      </c>
      <c r="P161" s="640"/>
      <c r="Q161" s="653">
        <v>1296</v>
      </c>
      <c r="R161" s="653">
        <v>210</v>
      </c>
      <c r="S161" s="653">
        <v>1698.5775789473687</v>
      </c>
      <c r="T161" s="650">
        <v>0.2036</v>
      </c>
      <c r="U161" s="652">
        <f t="shared" si="31"/>
        <v>652.45199507368432</v>
      </c>
      <c r="V161" s="640"/>
      <c r="W161" s="653">
        <v>288</v>
      </c>
      <c r="X161" s="653">
        <v>168</v>
      </c>
      <c r="Y161" s="653">
        <v>288</v>
      </c>
      <c r="Z161" s="650">
        <v>1.7611399999999999</v>
      </c>
      <c r="AA161" s="654">
        <f t="shared" si="32"/>
        <v>1310.2881599999998</v>
      </c>
      <c r="AB161" s="635"/>
      <c r="AC161" s="671"/>
      <c r="AD161" s="642"/>
      <c r="AE161" s="671"/>
      <c r="AF161" s="642"/>
      <c r="AG161" s="671"/>
      <c r="AH161" s="635"/>
      <c r="AI161" s="672"/>
      <c r="AJ161" s="673"/>
      <c r="AK161" s="658">
        <f t="shared" si="16"/>
        <v>0</v>
      </c>
      <c r="AL161" s="635"/>
      <c r="AM161" s="653">
        <v>0</v>
      </c>
      <c r="AN161" s="653">
        <v>0</v>
      </c>
      <c r="AO161" s="653">
        <v>0</v>
      </c>
      <c r="AP161" s="650">
        <v>0.2036</v>
      </c>
      <c r="AQ161" s="652">
        <f t="shared" si="33"/>
        <v>0</v>
      </c>
      <c r="AR161" s="635"/>
      <c r="AS161" s="659">
        <f t="shared" si="30"/>
        <v>52738.740155073683</v>
      </c>
      <c r="AT161" s="643"/>
      <c r="AU161" s="567"/>
      <c r="AV161" s="567"/>
      <c r="AW161" s="567"/>
      <c r="AX161" s="567">
        <f t="shared" si="36"/>
        <v>52738.740155073683</v>
      </c>
      <c r="AY161" s="660"/>
      <c r="AZ161" s="631"/>
      <c r="BA161" s="490"/>
      <c r="BE161" s="480">
        <v>652.45199507368432</v>
      </c>
      <c r="BF161" s="570">
        <f t="shared" si="34"/>
        <v>0</v>
      </c>
    </row>
    <row r="162" spans="1:58" s="645" customFormat="1" ht="15" x14ac:dyDescent="0.25">
      <c r="A162" s="644" t="s">
        <v>344</v>
      </c>
      <c r="B162" s="644" t="s">
        <v>345</v>
      </c>
      <c r="C162" s="646">
        <v>509195</v>
      </c>
      <c r="D162" s="635">
        <v>509195</v>
      </c>
      <c r="E162" s="663"/>
      <c r="F162" s="664"/>
      <c r="G162" s="551">
        <v>2448</v>
      </c>
      <c r="H162" s="551">
        <v>1134</v>
      </c>
      <c r="I162" s="551">
        <v>1980</v>
      </c>
      <c r="J162" s="649">
        <f t="shared" si="35"/>
        <v>5562</v>
      </c>
      <c r="K162" s="668"/>
      <c r="L162" s="669">
        <f t="shared" si="14"/>
        <v>5562</v>
      </c>
      <c r="M162" s="668" t="s">
        <v>251</v>
      </c>
      <c r="N162" s="553">
        <v>3.6804985850845933</v>
      </c>
      <c r="O162" s="670">
        <f t="shared" si="15"/>
        <v>20471</v>
      </c>
      <c r="P162" s="640"/>
      <c r="Q162" s="653">
        <v>1332</v>
      </c>
      <c r="R162" s="653">
        <v>294</v>
      </c>
      <c r="S162" s="653">
        <v>1259.2553684210527</v>
      </c>
      <c r="T162" s="650">
        <v>0.2036</v>
      </c>
      <c r="U162" s="652">
        <f t="shared" si="31"/>
        <v>587.43799301052627</v>
      </c>
      <c r="V162" s="640"/>
      <c r="W162" s="653">
        <v>0</v>
      </c>
      <c r="X162" s="653">
        <v>0</v>
      </c>
      <c r="Y162" s="653">
        <v>0</v>
      </c>
      <c r="Z162" s="650">
        <v>1.7611399999999999</v>
      </c>
      <c r="AA162" s="654">
        <f t="shared" si="32"/>
        <v>0</v>
      </c>
      <c r="AB162" s="635"/>
      <c r="AC162" s="671"/>
      <c r="AD162" s="642"/>
      <c r="AE162" s="671"/>
      <c r="AF162" s="642"/>
      <c r="AG162" s="671"/>
      <c r="AH162" s="635"/>
      <c r="AI162" s="672"/>
      <c r="AJ162" s="673"/>
      <c r="AK162" s="658">
        <f t="shared" si="16"/>
        <v>0</v>
      </c>
      <c r="AL162" s="635"/>
      <c r="AM162" s="653">
        <v>180</v>
      </c>
      <c r="AN162" s="653">
        <v>0</v>
      </c>
      <c r="AO162" s="653">
        <v>180</v>
      </c>
      <c r="AP162" s="650">
        <v>0.2036</v>
      </c>
      <c r="AQ162" s="652">
        <f t="shared" si="33"/>
        <v>73.296000000000006</v>
      </c>
      <c r="AR162" s="635"/>
      <c r="AS162" s="659">
        <f t="shared" si="30"/>
        <v>21131.733993010526</v>
      </c>
      <c r="AT162" s="643"/>
      <c r="AU162" s="567"/>
      <c r="AV162" s="567"/>
      <c r="AW162" s="567"/>
      <c r="AX162" s="567">
        <f t="shared" si="36"/>
        <v>21131.733993010526</v>
      </c>
      <c r="AY162" s="660"/>
      <c r="AZ162" s="631"/>
      <c r="BA162" s="490"/>
      <c r="BE162" s="480">
        <v>587.43799301052627</v>
      </c>
      <c r="BF162" s="570">
        <f t="shared" si="34"/>
        <v>0</v>
      </c>
    </row>
    <row r="163" spans="1:58" s="645" customFormat="1" ht="15" x14ac:dyDescent="0.25">
      <c r="A163" s="102" t="s">
        <v>346</v>
      </c>
      <c r="B163" s="680"/>
      <c r="C163" s="667" t="s">
        <v>347</v>
      </c>
      <c r="D163" s="635">
        <v>425466</v>
      </c>
      <c r="E163" s="663"/>
      <c r="F163" s="664"/>
      <c r="G163" s="551">
        <v>0</v>
      </c>
      <c r="H163" s="551">
        <v>0</v>
      </c>
      <c r="I163" s="551">
        <v>0</v>
      </c>
      <c r="J163" s="649">
        <f t="shared" si="35"/>
        <v>0</v>
      </c>
      <c r="K163" s="668"/>
      <c r="L163" s="669">
        <f t="shared" si="14"/>
        <v>0</v>
      </c>
      <c r="M163" s="668" t="s">
        <v>251</v>
      </c>
      <c r="N163" s="553">
        <v>3.6804985850845933</v>
      </c>
      <c r="O163" s="670">
        <f t="shared" si="15"/>
        <v>0</v>
      </c>
      <c r="P163" s="640"/>
      <c r="Q163" s="653">
        <v>0</v>
      </c>
      <c r="R163" s="653">
        <v>0</v>
      </c>
      <c r="S163" s="653">
        <v>0</v>
      </c>
      <c r="T163" s="650">
        <v>0.2036</v>
      </c>
      <c r="U163" s="652">
        <f t="shared" si="31"/>
        <v>0</v>
      </c>
      <c r="V163" s="640"/>
      <c r="W163" s="653">
        <v>0</v>
      </c>
      <c r="X163" s="653">
        <v>0</v>
      </c>
      <c r="Y163" s="653">
        <v>0</v>
      </c>
      <c r="Z163" s="650">
        <v>1.7611399999999999</v>
      </c>
      <c r="AA163" s="654">
        <f t="shared" si="32"/>
        <v>0</v>
      </c>
      <c r="AB163" s="635"/>
      <c r="AC163" s="671"/>
      <c r="AD163" s="642"/>
      <c r="AE163" s="671"/>
      <c r="AF163" s="642"/>
      <c r="AG163" s="671"/>
      <c r="AH163" s="635"/>
      <c r="AI163" s="672"/>
      <c r="AJ163" s="673"/>
      <c r="AK163" s="658">
        <f t="shared" si="16"/>
        <v>0</v>
      </c>
      <c r="AL163" s="635"/>
      <c r="AM163" s="653">
        <v>0</v>
      </c>
      <c r="AN163" s="653">
        <v>0</v>
      </c>
      <c r="AO163" s="653">
        <v>0</v>
      </c>
      <c r="AP163" s="650">
        <v>0.2036</v>
      </c>
      <c r="AQ163" s="652">
        <f t="shared" si="33"/>
        <v>0</v>
      </c>
      <c r="AR163" s="635"/>
      <c r="AS163" s="659">
        <f t="shared" si="30"/>
        <v>0</v>
      </c>
      <c r="AT163" s="643"/>
      <c r="AU163" s="567"/>
      <c r="AV163" s="567"/>
      <c r="AW163" s="567"/>
      <c r="AX163" s="567">
        <f t="shared" si="36"/>
        <v>0</v>
      </c>
      <c r="AY163" s="660" t="s">
        <v>869</v>
      </c>
      <c r="BA163" s="490"/>
      <c r="BE163" s="480">
        <v>0</v>
      </c>
      <c r="BF163" s="570">
        <f t="shared" si="34"/>
        <v>0</v>
      </c>
    </row>
    <row r="164" spans="1:58" s="645" customFormat="1" ht="15" x14ac:dyDescent="0.25">
      <c r="A164" s="722" t="s">
        <v>348</v>
      </c>
      <c r="B164" s="722"/>
      <c r="C164" s="710" t="s">
        <v>349</v>
      </c>
      <c r="D164" s="635">
        <v>467587</v>
      </c>
      <c r="E164" s="663"/>
      <c r="F164" s="664"/>
      <c r="G164" s="551">
        <v>4716</v>
      </c>
      <c r="H164" s="551">
        <v>0</v>
      </c>
      <c r="I164" s="551">
        <v>0</v>
      </c>
      <c r="J164" s="649">
        <f t="shared" si="35"/>
        <v>4716</v>
      </c>
      <c r="K164" s="668"/>
      <c r="L164" s="669">
        <f t="shared" si="14"/>
        <v>4716</v>
      </c>
      <c r="M164" s="668" t="s">
        <v>251</v>
      </c>
      <c r="N164" s="553">
        <v>3.6804985850845933</v>
      </c>
      <c r="O164" s="670">
        <f t="shared" si="15"/>
        <v>17357</v>
      </c>
      <c r="P164" s="640"/>
      <c r="Q164" s="653">
        <v>540</v>
      </c>
      <c r="R164" s="653">
        <v>420</v>
      </c>
      <c r="S164" s="653">
        <v>70.85842105263157</v>
      </c>
      <c r="T164" s="650">
        <v>0.2036</v>
      </c>
      <c r="U164" s="652">
        <f t="shared" si="31"/>
        <v>209.88277452631576</v>
      </c>
      <c r="V164" s="640"/>
      <c r="W164" s="653">
        <v>0</v>
      </c>
      <c r="X164" s="653">
        <v>0</v>
      </c>
      <c r="Y164" s="653">
        <v>0</v>
      </c>
      <c r="Z164" s="650">
        <v>1.7611399999999999</v>
      </c>
      <c r="AA164" s="654">
        <f t="shared" si="32"/>
        <v>0</v>
      </c>
      <c r="AB164" s="635"/>
      <c r="AC164" s="671"/>
      <c r="AD164" s="642"/>
      <c r="AE164" s="671"/>
      <c r="AF164" s="642"/>
      <c r="AG164" s="671"/>
      <c r="AH164" s="635"/>
      <c r="AI164" s="672"/>
      <c r="AJ164" s="673"/>
      <c r="AK164" s="658">
        <f t="shared" si="16"/>
        <v>0</v>
      </c>
      <c r="AL164" s="635"/>
      <c r="AM164" s="653">
        <v>0</v>
      </c>
      <c r="AN164" s="653">
        <v>0</v>
      </c>
      <c r="AO164" s="653">
        <v>0</v>
      </c>
      <c r="AP164" s="650">
        <v>0.2036</v>
      </c>
      <c r="AQ164" s="652">
        <f t="shared" si="33"/>
        <v>0</v>
      </c>
      <c r="AR164" s="635"/>
      <c r="AS164" s="659">
        <f t="shared" si="30"/>
        <v>17566.882774526315</v>
      </c>
      <c r="AT164" s="643"/>
      <c r="AU164" s="567"/>
      <c r="AV164" s="567"/>
      <c r="AW164" s="567"/>
      <c r="AX164" s="567">
        <f t="shared" si="36"/>
        <v>17566.882774526315</v>
      </c>
      <c r="AY164" s="660"/>
      <c r="AZ164" s="631"/>
      <c r="BA164" s="490"/>
      <c r="BE164" s="480">
        <v>209.88277452631576</v>
      </c>
      <c r="BF164" s="570">
        <f t="shared" si="34"/>
        <v>0</v>
      </c>
    </row>
    <row r="165" spans="1:58" s="645" customFormat="1" ht="15" x14ac:dyDescent="0.25">
      <c r="A165" s="644" t="s">
        <v>350</v>
      </c>
      <c r="B165" s="644" t="s">
        <v>351</v>
      </c>
      <c r="C165" s="646" t="s">
        <v>352</v>
      </c>
      <c r="D165" s="635">
        <v>371611</v>
      </c>
      <c r="E165" s="663"/>
      <c r="F165" s="664"/>
      <c r="G165" s="551">
        <v>5940</v>
      </c>
      <c r="H165" s="551">
        <v>3360</v>
      </c>
      <c r="I165" s="551">
        <v>3420</v>
      </c>
      <c r="J165" s="649">
        <f t="shared" si="35"/>
        <v>12720</v>
      </c>
      <c r="K165" s="668"/>
      <c r="L165" s="669">
        <f t="shared" si="14"/>
        <v>12720</v>
      </c>
      <c r="M165" s="668" t="s">
        <v>266</v>
      </c>
      <c r="N165" s="553">
        <v>3.6804985850845933</v>
      </c>
      <c r="O165" s="670">
        <f t="shared" si="15"/>
        <v>46816</v>
      </c>
      <c r="P165" s="640"/>
      <c r="Q165" s="653">
        <v>144</v>
      </c>
      <c r="R165" s="653">
        <v>1260</v>
      </c>
      <c r="S165" s="653">
        <v>1042.6310526315788</v>
      </c>
      <c r="T165" s="650">
        <v>0.2036</v>
      </c>
      <c r="U165" s="652">
        <f t="shared" si="31"/>
        <v>498.13408231578944</v>
      </c>
      <c r="V165" s="640"/>
      <c r="W165" s="653">
        <v>0</v>
      </c>
      <c r="X165" s="653">
        <v>0</v>
      </c>
      <c r="Y165" s="653">
        <v>0</v>
      </c>
      <c r="Z165" s="650">
        <v>1.7611399999999999</v>
      </c>
      <c r="AA165" s="654">
        <f t="shared" si="32"/>
        <v>0</v>
      </c>
      <c r="AB165" s="635"/>
      <c r="AC165" s="671"/>
      <c r="AD165" s="642"/>
      <c r="AE165" s="671"/>
      <c r="AF165" s="642"/>
      <c r="AG165" s="671"/>
      <c r="AH165" s="635"/>
      <c r="AI165" s="672"/>
      <c r="AJ165" s="673"/>
      <c r="AK165" s="658">
        <f t="shared" si="16"/>
        <v>0</v>
      </c>
      <c r="AL165" s="635"/>
      <c r="AM165" s="653">
        <v>0</v>
      </c>
      <c r="AN165" s="653">
        <v>0</v>
      </c>
      <c r="AO165" s="653">
        <v>0</v>
      </c>
      <c r="AP165" s="650">
        <v>0.2036</v>
      </c>
      <c r="AQ165" s="652">
        <f t="shared" si="33"/>
        <v>0</v>
      </c>
      <c r="AR165" s="635"/>
      <c r="AS165" s="659">
        <f t="shared" si="30"/>
        <v>47314.134082315788</v>
      </c>
      <c r="AT165" s="643"/>
      <c r="AU165" s="567"/>
      <c r="AV165" s="567"/>
      <c r="AW165" s="567"/>
      <c r="AX165" s="567">
        <f t="shared" si="36"/>
        <v>47314.134082315788</v>
      </c>
      <c r="AY165" s="660"/>
      <c r="AZ165" s="631"/>
      <c r="BA165" s="490"/>
      <c r="BE165" s="480">
        <v>498.13408231578944</v>
      </c>
      <c r="BF165" s="570">
        <f t="shared" si="34"/>
        <v>0</v>
      </c>
    </row>
    <row r="166" spans="1:58" s="645" customFormat="1" ht="15" x14ac:dyDescent="0.25">
      <c r="A166" s="644" t="s">
        <v>353</v>
      </c>
      <c r="B166" s="644" t="s">
        <v>354</v>
      </c>
      <c r="C166" s="646">
        <v>509199</v>
      </c>
      <c r="D166" s="635">
        <v>509199</v>
      </c>
      <c r="E166" s="663"/>
      <c r="F166" s="664"/>
      <c r="G166" s="551">
        <v>4680</v>
      </c>
      <c r="H166" s="551">
        <v>3780</v>
      </c>
      <c r="I166" s="551">
        <v>3600</v>
      </c>
      <c r="J166" s="649">
        <f t="shared" si="35"/>
        <v>12060</v>
      </c>
      <c r="K166" s="668"/>
      <c r="L166" s="669">
        <f t="shared" si="14"/>
        <v>12060</v>
      </c>
      <c r="M166" s="668" t="s">
        <v>251</v>
      </c>
      <c r="N166" s="553">
        <v>3.6804985850845933</v>
      </c>
      <c r="O166" s="670">
        <f t="shared" si="15"/>
        <v>44387</v>
      </c>
      <c r="P166" s="640"/>
      <c r="Q166" s="653">
        <v>3240</v>
      </c>
      <c r="R166" s="653">
        <v>1470</v>
      </c>
      <c r="S166" s="653">
        <v>2955.8084210526317</v>
      </c>
      <c r="T166" s="650">
        <v>0.2036</v>
      </c>
      <c r="U166" s="652">
        <f t="shared" si="31"/>
        <v>1560.7585945263158</v>
      </c>
      <c r="V166" s="640"/>
      <c r="W166" s="653">
        <v>0</v>
      </c>
      <c r="X166" s="653">
        <v>0</v>
      </c>
      <c r="Y166" s="653">
        <v>0</v>
      </c>
      <c r="Z166" s="650">
        <v>1.7611399999999999</v>
      </c>
      <c r="AA166" s="654">
        <f t="shared" si="32"/>
        <v>0</v>
      </c>
      <c r="AB166" s="635"/>
      <c r="AC166" s="671"/>
      <c r="AD166" s="642"/>
      <c r="AE166" s="671"/>
      <c r="AF166" s="642"/>
      <c r="AG166" s="671"/>
      <c r="AH166" s="635"/>
      <c r="AI166" s="672"/>
      <c r="AJ166" s="673"/>
      <c r="AK166" s="658">
        <f t="shared" si="16"/>
        <v>0</v>
      </c>
      <c r="AL166" s="635"/>
      <c r="AM166" s="653">
        <v>540</v>
      </c>
      <c r="AN166" s="653">
        <v>210</v>
      </c>
      <c r="AO166" s="653">
        <v>540</v>
      </c>
      <c r="AP166" s="650">
        <v>0.2036</v>
      </c>
      <c r="AQ166" s="652">
        <f t="shared" si="33"/>
        <v>262.64400000000001</v>
      </c>
      <c r="AR166" s="635"/>
      <c r="AS166" s="659">
        <f t="shared" si="30"/>
        <v>46210.402594526313</v>
      </c>
      <c r="AT166" s="643"/>
      <c r="AU166" s="567"/>
      <c r="AV166" s="567"/>
      <c r="AW166" s="567"/>
      <c r="AX166" s="567">
        <f t="shared" si="36"/>
        <v>46210.402594526313</v>
      </c>
      <c r="AY166" s="660"/>
      <c r="AZ166" s="631"/>
      <c r="BA166" s="490"/>
      <c r="BE166" s="480">
        <v>1560.7585945263158</v>
      </c>
      <c r="BF166" s="570">
        <f t="shared" si="34"/>
        <v>0</v>
      </c>
    </row>
    <row r="167" spans="1:58" s="645" customFormat="1" ht="15" x14ac:dyDescent="0.25">
      <c r="A167" s="644" t="s">
        <v>355</v>
      </c>
      <c r="B167" s="644" t="s">
        <v>356</v>
      </c>
      <c r="C167" s="646">
        <v>509197</v>
      </c>
      <c r="D167" s="635">
        <v>509197</v>
      </c>
      <c r="E167" s="663"/>
      <c r="F167" s="664"/>
      <c r="G167" s="551">
        <v>5040</v>
      </c>
      <c r="H167" s="551">
        <v>3780</v>
      </c>
      <c r="I167" s="551">
        <v>3960</v>
      </c>
      <c r="J167" s="649">
        <f t="shared" si="35"/>
        <v>12780</v>
      </c>
      <c r="K167" s="668"/>
      <c r="L167" s="669">
        <f t="shared" si="14"/>
        <v>12780</v>
      </c>
      <c r="M167" s="668" t="s">
        <v>251</v>
      </c>
      <c r="N167" s="553">
        <v>3.6804985850845933</v>
      </c>
      <c r="O167" s="670">
        <f t="shared" si="15"/>
        <v>47037</v>
      </c>
      <c r="P167" s="640"/>
      <c r="Q167" s="653">
        <v>3600</v>
      </c>
      <c r="R167" s="653">
        <v>1050</v>
      </c>
      <c r="S167" s="653">
        <v>5526.9568421052636</v>
      </c>
      <c r="T167" s="650">
        <v>0.2036</v>
      </c>
      <c r="U167" s="652">
        <f t="shared" si="31"/>
        <v>2072.028413052632</v>
      </c>
      <c r="V167" s="640"/>
      <c r="W167" s="653">
        <v>0</v>
      </c>
      <c r="X167" s="653">
        <v>0</v>
      </c>
      <c r="Y167" s="653">
        <v>0</v>
      </c>
      <c r="Z167" s="650">
        <v>1.7611399999999999</v>
      </c>
      <c r="AA167" s="654">
        <f t="shared" si="32"/>
        <v>0</v>
      </c>
      <c r="AB167" s="635"/>
      <c r="AC167" s="671"/>
      <c r="AD167" s="642"/>
      <c r="AE167" s="671"/>
      <c r="AF167" s="642"/>
      <c r="AG167" s="671"/>
      <c r="AH167" s="635"/>
      <c r="AI167" s="672"/>
      <c r="AJ167" s="673"/>
      <c r="AK167" s="658">
        <f t="shared" si="16"/>
        <v>0</v>
      </c>
      <c r="AL167" s="635"/>
      <c r="AM167" s="653">
        <v>540</v>
      </c>
      <c r="AN167" s="653">
        <v>0</v>
      </c>
      <c r="AO167" s="653">
        <v>540</v>
      </c>
      <c r="AP167" s="650">
        <v>0.2036</v>
      </c>
      <c r="AQ167" s="652">
        <f t="shared" si="33"/>
        <v>219.88800000000001</v>
      </c>
      <c r="AR167" s="635"/>
      <c r="AS167" s="659">
        <f t="shared" si="30"/>
        <v>49328.916413052633</v>
      </c>
      <c r="AT167" s="643"/>
      <c r="AU167" s="567"/>
      <c r="AV167" s="567"/>
      <c r="AW167" s="567"/>
      <c r="AX167" s="567">
        <f t="shared" si="36"/>
        <v>49328.916413052633</v>
      </c>
      <c r="AY167" s="660"/>
      <c r="AZ167" s="631"/>
      <c r="BA167" s="490"/>
      <c r="BE167" s="480">
        <v>2072.028413052632</v>
      </c>
      <c r="BF167" s="570">
        <f t="shared" si="34"/>
        <v>0</v>
      </c>
    </row>
    <row r="168" spans="1:58" s="645" customFormat="1" ht="15" x14ac:dyDescent="0.25">
      <c r="A168" s="644" t="s">
        <v>357</v>
      </c>
      <c r="B168" s="644" t="s">
        <v>358</v>
      </c>
      <c r="C168" s="646" t="s">
        <v>359</v>
      </c>
      <c r="D168" s="635">
        <v>385725</v>
      </c>
      <c r="E168" s="663"/>
      <c r="F168" s="664"/>
      <c r="G168" s="551">
        <v>4212</v>
      </c>
      <c r="H168" s="551">
        <v>4200</v>
      </c>
      <c r="I168" s="551">
        <v>3780</v>
      </c>
      <c r="J168" s="649">
        <f t="shared" si="35"/>
        <v>12192</v>
      </c>
      <c r="K168" s="668"/>
      <c r="L168" s="669">
        <f t="shared" si="14"/>
        <v>12192</v>
      </c>
      <c r="M168" s="668" t="s">
        <v>266</v>
      </c>
      <c r="N168" s="553">
        <v>3.6804985850845933</v>
      </c>
      <c r="O168" s="670">
        <f t="shared" si="15"/>
        <v>44873</v>
      </c>
      <c r="P168" s="640"/>
      <c r="Q168" s="653">
        <v>0</v>
      </c>
      <c r="R168" s="653">
        <v>210</v>
      </c>
      <c r="S168" s="653">
        <v>0</v>
      </c>
      <c r="T168" s="650">
        <v>0.2036</v>
      </c>
      <c r="U168" s="652">
        <f t="shared" si="31"/>
        <v>42.756</v>
      </c>
      <c r="V168" s="640"/>
      <c r="W168" s="653">
        <v>0</v>
      </c>
      <c r="X168" s="653">
        <v>0</v>
      </c>
      <c r="Y168" s="653">
        <v>0</v>
      </c>
      <c r="Z168" s="650">
        <v>1.7611399999999999</v>
      </c>
      <c r="AA168" s="654">
        <f t="shared" si="32"/>
        <v>0</v>
      </c>
      <c r="AB168" s="635"/>
      <c r="AC168" s="671"/>
      <c r="AD168" s="642"/>
      <c r="AE168" s="671"/>
      <c r="AF168" s="642"/>
      <c r="AG168" s="671"/>
      <c r="AH168" s="635"/>
      <c r="AI168" s="672"/>
      <c r="AJ168" s="673"/>
      <c r="AK168" s="658">
        <f t="shared" si="16"/>
        <v>0</v>
      </c>
      <c r="AL168" s="635"/>
      <c r="AM168" s="653">
        <v>324</v>
      </c>
      <c r="AN168" s="653">
        <v>0</v>
      </c>
      <c r="AO168" s="653">
        <v>324</v>
      </c>
      <c r="AP168" s="650">
        <v>0.2036</v>
      </c>
      <c r="AQ168" s="652">
        <f t="shared" si="33"/>
        <v>131.93280000000001</v>
      </c>
      <c r="AR168" s="635"/>
      <c r="AS168" s="659">
        <f t="shared" si="30"/>
        <v>45047.688800000004</v>
      </c>
      <c r="AT168" s="643"/>
      <c r="AU168" s="567"/>
      <c r="AV168" s="567"/>
      <c r="AW168" s="567"/>
      <c r="AX168" s="567">
        <f t="shared" si="36"/>
        <v>45047.688800000004</v>
      </c>
      <c r="AY168" s="660"/>
      <c r="AZ168" s="631"/>
      <c r="BA168" s="490"/>
      <c r="BE168" s="480">
        <v>42.756</v>
      </c>
      <c r="BF168" s="570">
        <f t="shared" si="34"/>
        <v>0</v>
      </c>
    </row>
    <row r="169" spans="1:58" s="645" customFormat="1" ht="15" x14ac:dyDescent="0.25">
      <c r="A169" s="723" t="s">
        <v>870</v>
      </c>
      <c r="B169" s="644"/>
      <c r="C169" s="724">
        <v>479383</v>
      </c>
      <c r="D169" s="724">
        <v>479383</v>
      </c>
      <c r="E169" s="663"/>
      <c r="F169" s="664"/>
      <c r="G169" s="551">
        <v>5220</v>
      </c>
      <c r="H169" s="551">
        <v>6090</v>
      </c>
      <c r="I169" s="551">
        <v>5220</v>
      </c>
      <c r="J169" s="649">
        <f t="shared" si="35"/>
        <v>16530</v>
      </c>
      <c r="K169" s="668"/>
      <c r="L169" s="669">
        <f t="shared" si="14"/>
        <v>16530</v>
      </c>
      <c r="M169" s="725" t="s">
        <v>266</v>
      </c>
      <c r="N169" s="553">
        <v>3.6804985850845933</v>
      </c>
      <c r="O169" s="670">
        <f t="shared" si="15"/>
        <v>60839</v>
      </c>
      <c r="P169" s="640"/>
      <c r="Q169" s="653">
        <v>0</v>
      </c>
      <c r="R169" s="653">
        <v>0</v>
      </c>
      <c r="S169" s="653">
        <v>0</v>
      </c>
      <c r="T169" s="650">
        <v>0.2036</v>
      </c>
      <c r="U169" s="652">
        <f t="shared" si="31"/>
        <v>0</v>
      </c>
      <c r="V169" s="640"/>
      <c r="W169" s="653">
        <v>0</v>
      </c>
      <c r="X169" s="653">
        <v>0</v>
      </c>
      <c r="Y169" s="653">
        <v>0</v>
      </c>
      <c r="Z169" s="650">
        <v>1.7611399999999999</v>
      </c>
      <c r="AA169" s="654">
        <f t="shared" si="32"/>
        <v>0</v>
      </c>
      <c r="AB169" s="635"/>
      <c r="AC169" s="671"/>
      <c r="AD169" s="642"/>
      <c r="AE169" s="671"/>
      <c r="AF169" s="642"/>
      <c r="AG169" s="671"/>
      <c r="AH169" s="635"/>
      <c r="AI169" s="672"/>
      <c r="AJ169" s="673"/>
      <c r="AK169" s="658">
        <f t="shared" si="16"/>
        <v>0</v>
      </c>
      <c r="AL169" s="635"/>
      <c r="AM169" s="653">
        <v>0</v>
      </c>
      <c r="AN169" s="653">
        <v>0</v>
      </c>
      <c r="AO169" s="653">
        <v>0</v>
      </c>
      <c r="AP169" s="650">
        <v>0.2036</v>
      </c>
      <c r="AQ169" s="652">
        <f t="shared" si="33"/>
        <v>0</v>
      </c>
      <c r="AR169" s="635"/>
      <c r="AS169" s="659">
        <f t="shared" si="30"/>
        <v>60839</v>
      </c>
      <c r="AT169" s="643"/>
      <c r="AU169" s="567"/>
      <c r="AV169" s="567"/>
      <c r="AW169" s="567"/>
      <c r="AX169" s="567">
        <f t="shared" si="36"/>
        <v>60839</v>
      </c>
      <c r="AY169" s="660"/>
      <c r="AZ169" s="631"/>
      <c r="BA169" s="490"/>
      <c r="BE169" s="480">
        <v>0</v>
      </c>
      <c r="BF169" s="570">
        <f t="shared" si="34"/>
        <v>0</v>
      </c>
    </row>
    <row r="170" spans="1:58" s="645" customFormat="1" ht="15" x14ac:dyDescent="0.25">
      <c r="A170" s="102" t="s">
        <v>360</v>
      </c>
      <c r="B170" s="100"/>
      <c r="C170" s="100" t="s">
        <v>361</v>
      </c>
      <c r="D170" s="635">
        <v>471706</v>
      </c>
      <c r="E170" s="663"/>
      <c r="F170" s="664"/>
      <c r="G170" s="551">
        <v>1440</v>
      </c>
      <c r="H170" s="551">
        <v>1680</v>
      </c>
      <c r="I170" s="551">
        <v>1440</v>
      </c>
      <c r="J170" s="649">
        <f t="shared" si="35"/>
        <v>4560</v>
      </c>
      <c r="K170" s="668"/>
      <c r="L170" s="669">
        <f t="shared" si="14"/>
        <v>4560</v>
      </c>
      <c r="M170" s="668" t="s">
        <v>266</v>
      </c>
      <c r="N170" s="553">
        <v>3.6804985850845933</v>
      </c>
      <c r="O170" s="670">
        <f t="shared" si="15"/>
        <v>16783</v>
      </c>
      <c r="P170" s="640"/>
      <c r="Q170" s="653">
        <v>2340</v>
      </c>
      <c r="R170" s="653">
        <v>5040</v>
      </c>
      <c r="S170" s="653">
        <v>1800</v>
      </c>
      <c r="T170" s="650">
        <v>0.2036</v>
      </c>
      <c r="U170" s="652">
        <f t="shared" si="31"/>
        <v>1869.048</v>
      </c>
      <c r="V170" s="640"/>
      <c r="W170" s="653">
        <v>180</v>
      </c>
      <c r="X170" s="653">
        <v>210</v>
      </c>
      <c r="Y170" s="653">
        <v>180</v>
      </c>
      <c r="Z170" s="650">
        <v>1.7611399999999999</v>
      </c>
      <c r="AA170" s="654">
        <f t="shared" si="32"/>
        <v>1003.8498</v>
      </c>
      <c r="AB170" s="635"/>
      <c r="AC170" s="671"/>
      <c r="AD170" s="642"/>
      <c r="AE170" s="671"/>
      <c r="AF170" s="642"/>
      <c r="AG170" s="671"/>
      <c r="AH170" s="635"/>
      <c r="AI170" s="672"/>
      <c r="AJ170" s="673"/>
      <c r="AK170" s="658">
        <f t="shared" si="16"/>
        <v>0</v>
      </c>
      <c r="AL170" s="635"/>
      <c r="AM170" s="653">
        <v>360</v>
      </c>
      <c r="AN170" s="653">
        <v>0</v>
      </c>
      <c r="AO170" s="653">
        <v>360</v>
      </c>
      <c r="AP170" s="650">
        <v>0.2036</v>
      </c>
      <c r="AQ170" s="652">
        <f t="shared" si="33"/>
        <v>146.59200000000001</v>
      </c>
      <c r="AR170" s="635"/>
      <c r="AS170" s="659">
        <f t="shared" si="30"/>
        <v>19802.489799999999</v>
      </c>
      <c r="AT170" s="643"/>
      <c r="AU170" s="567"/>
      <c r="AV170" s="567"/>
      <c r="AW170" s="567"/>
      <c r="AX170" s="567">
        <f t="shared" si="36"/>
        <v>19802.489799999999</v>
      </c>
      <c r="AY170" s="660"/>
      <c r="AZ170" s="631"/>
      <c r="BA170" s="490"/>
      <c r="BE170" s="480">
        <v>1869.048</v>
      </c>
      <c r="BF170" s="570">
        <f t="shared" si="34"/>
        <v>0</v>
      </c>
    </row>
    <row r="171" spans="1:58" s="645" customFormat="1" ht="15" x14ac:dyDescent="0.25">
      <c r="A171" s="489" t="s">
        <v>871</v>
      </c>
      <c r="B171" s="489"/>
      <c r="C171" s="584" t="s">
        <v>872</v>
      </c>
      <c r="D171" s="635">
        <v>441899</v>
      </c>
      <c r="E171" s="663"/>
      <c r="F171" s="664"/>
      <c r="G171" s="551">
        <v>0</v>
      </c>
      <c r="H171" s="551">
        <v>0</v>
      </c>
      <c r="I171" s="551">
        <v>0</v>
      </c>
      <c r="J171" s="649">
        <f t="shared" si="35"/>
        <v>0</v>
      </c>
      <c r="K171" s="668"/>
      <c r="L171" s="669">
        <f t="shared" si="14"/>
        <v>0</v>
      </c>
      <c r="M171" s="668" t="s">
        <v>266</v>
      </c>
      <c r="N171" s="553">
        <v>3.6804985850845933</v>
      </c>
      <c r="O171" s="670">
        <f t="shared" si="15"/>
        <v>0</v>
      </c>
      <c r="P171" s="640"/>
      <c r="Q171" s="653">
        <v>1620</v>
      </c>
      <c r="R171" s="653">
        <v>0</v>
      </c>
      <c r="S171" s="653">
        <v>0</v>
      </c>
      <c r="T171" s="650">
        <v>0.2036</v>
      </c>
      <c r="U171" s="652">
        <f t="shared" si="31"/>
        <v>329.83199999999999</v>
      </c>
      <c r="V171" s="640"/>
      <c r="W171" s="653">
        <v>0</v>
      </c>
      <c r="X171" s="653">
        <v>0</v>
      </c>
      <c r="Y171" s="653">
        <v>0</v>
      </c>
      <c r="Z171" s="650">
        <v>1.7611399999999999</v>
      </c>
      <c r="AA171" s="654">
        <f t="shared" si="32"/>
        <v>0</v>
      </c>
      <c r="AB171" s="635"/>
      <c r="AC171" s="671"/>
      <c r="AD171" s="642"/>
      <c r="AE171" s="671"/>
      <c r="AF171" s="642"/>
      <c r="AG171" s="671"/>
      <c r="AH171" s="635"/>
      <c r="AI171" s="672"/>
      <c r="AJ171" s="673"/>
      <c r="AK171" s="658">
        <f t="shared" si="16"/>
        <v>0</v>
      </c>
      <c r="AL171" s="635"/>
      <c r="AM171" s="653">
        <v>180</v>
      </c>
      <c r="AN171" s="653">
        <v>0</v>
      </c>
      <c r="AO171" s="653">
        <v>180</v>
      </c>
      <c r="AP171" s="650">
        <v>0.2036</v>
      </c>
      <c r="AQ171" s="652">
        <f t="shared" si="33"/>
        <v>73.296000000000006</v>
      </c>
      <c r="AR171" s="635"/>
      <c r="AS171" s="659">
        <f t="shared" si="30"/>
        <v>403.12799999999999</v>
      </c>
      <c r="AT171" s="643"/>
      <c r="AU171" s="567"/>
      <c r="AV171" s="567"/>
      <c r="AW171" s="567"/>
      <c r="AX171" s="567">
        <f t="shared" si="36"/>
        <v>403.12799999999999</v>
      </c>
      <c r="AY171" s="660"/>
      <c r="AZ171" s="631"/>
      <c r="BA171" s="490"/>
      <c r="BE171" s="480">
        <v>329.83199999999999</v>
      </c>
      <c r="BF171" s="570">
        <f t="shared" si="34"/>
        <v>0</v>
      </c>
    </row>
    <row r="172" spans="1:58" s="645" customFormat="1" ht="15" x14ac:dyDescent="0.25">
      <c r="A172" s="644" t="s">
        <v>362</v>
      </c>
      <c r="B172" s="644" t="s">
        <v>363</v>
      </c>
      <c r="C172" s="646">
        <v>206117</v>
      </c>
      <c r="D172" s="635">
        <v>206117</v>
      </c>
      <c r="E172" s="663"/>
      <c r="F172" s="664"/>
      <c r="G172" s="551">
        <v>9840</v>
      </c>
      <c r="H172" s="551">
        <v>5838</v>
      </c>
      <c r="I172" s="551">
        <v>7704</v>
      </c>
      <c r="J172" s="649">
        <f t="shared" si="35"/>
        <v>23382</v>
      </c>
      <c r="K172" s="668"/>
      <c r="L172" s="669">
        <f t="shared" si="14"/>
        <v>23382</v>
      </c>
      <c r="M172" s="668" t="s">
        <v>251</v>
      </c>
      <c r="N172" s="553">
        <v>3.6804985850845933</v>
      </c>
      <c r="O172" s="670">
        <f t="shared" si="15"/>
        <v>86057</v>
      </c>
      <c r="P172" s="640"/>
      <c r="Q172" s="653">
        <v>900</v>
      </c>
      <c r="R172" s="653">
        <v>1050</v>
      </c>
      <c r="S172" s="653">
        <v>263.18842105263161</v>
      </c>
      <c r="T172" s="650">
        <v>0.2036</v>
      </c>
      <c r="U172" s="652">
        <f t="shared" si="31"/>
        <v>450.60516252631578</v>
      </c>
      <c r="V172" s="640"/>
      <c r="W172" s="653">
        <v>0</v>
      </c>
      <c r="X172" s="653">
        <v>0</v>
      </c>
      <c r="Y172" s="653">
        <v>0</v>
      </c>
      <c r="Z172" s="650">
        <v>1.7611399999999999</v>
      </c>
      <c r="AA172" s="654">
        <f t="shared" si="32"/>
        <v>0</v>
      </c>
      <c r="AB172" s="635"/>
      <c r="AC172" s="671"/>
      <c r="AD172" s="642"/>
      <c r="AE172" s="671"/>
      <c r="AF172" s="642"/>
      <c r="AG172" s="671"/>
      <c r="AH172" s="635"/>
      <c r="AI172" s="672"/>
      <c r="AJ172" s="673"/>
      <c r="AK172" s="658">
        <f t="shared" si="16"/>
        <v>0</v>
      </c>
      <c r="AL172" s="635"/>
      <c r="AM172" s="653">
        <v>0</v>
      </c>
      <c r="AN172" s="653">
        <v>0</v>
      </c>
      <c r="AO172" s="653">
        <v>0</v>
      </c>
      <c r="AP172" s="650">
        <v>0.2036</v>
      </c>
      <c r="AQ172" s="652">
        <f t="shared" si="33"/>
        <v>0</v>
      </c>
      <c r="AR172" s="635"/>
      <c r="AS172" s="659">
        <f t="shared" si="30"/>
        <v>86507.605162526321</v>
      </c>
      <c r="AT172" s="643"/>
      <c r="AU172" s="567"/>
      <c r="AV172" s="567"/>
      <c r="AW172" s="567"/>
      <c r="AX172" s="567">
        <f t="shared" si="36"/>
        <v>86507.605162526321</v>
      </c>
      <c r="AY172" s="660"/>
      <c r="AZ172" s="631"/>
      <c r="BA172" s="490"/>
      <c r="BE172" s="480">
        <v>450.60516252631578</v>
      </c>
      <c r="BF172" s="570">
        <f t="shared" si="34"/>
        <v>0</v>
      </c>
    </row>
    <row r="173" spans="1:58" s="645" customFormat="1" ht="15" x14ac:dyDescent="0.25">
      <c r="A173" s="644" t="s">
        <v>364</v>
      </c>
      <c r="B173" s="644" t="s">
        <v>365</v>
      </c>
      <c r="C173" s="646">
        <v>206141</v>
      </c>
      <c r="D173" s="635">
        <v>206141</v>
      </c>
      <c r="E173" s="663"/>
      <c r="F173" s="664"/>
      <c r="G173" s="551">
        <v>5040</v>
      </c>
      <c r="H173" s="551">
        <v>5460</v>
      </c>
      <c r="I173" s="551">
        <v>5760</v>
      </c>
      <c r="J173" s="649">
        <f t="shared" si="35"/>
        <v>16260</v>
      </c>
      <c r="K173" s="668"/>
      <c r="L173" s="669">
        <f t="shared" si="14"/>
        <v>16260</v>
      </c>
      <c r="M173" s="668" t="s">
        <v>266</v>
      </c>
      <c r="N173" s="553">
        <v>3.6804985850845933</v>
      </c>
      <c r="O173" s="670">
        <f t="shared" si="15"/>
        <v>59845</v>
      </c>
      <c r="P173" s="640"/>
      <c r="Q173" s="653">
        <v>180</v>
      </c>
      <c r="R173" s="653">
        <v>504</v>
      </c>
      <c r="S173" s="653">
        <v>599.25978947368424</v>
      </c>
      <c r="T173" s="650">
        <v>0.2036</v>
      </c>
      <c r="U173" s="652">
        <f t="shared" si="31"/>
        <v>261.27169313684209</v>
      </c>
      <c r="V173" s="640"/>
      <c r="W173" s="653">
        <v>0</v>
      </c>
      <c r="X173" s="653">
        <v>0</v>
      </c>
      <c r="Y173" s="653">
        <v>0</v>
      </c>
      <c r="Z173" s="650">
        <v>1.7611399999999999</v>
      </c>
      <c r="AA173" s="654">
        <f t="shared" si="32"/>
        <v>0</v>
      </c>
      <c r="AB173" s="635"/>
      <c r="AC173" s="671"/>
      <c r="AD173" s="642"/>
      <c r="AE173" s="671"/>
      <c r="AF173" s="642"/>
      <c r="AG173" s="671"/>
      <c r="AH173" s="635"/>
      <c r="AI173" s="672"/>
      <c r="AJ173" s="673"/>
      <c r="AK173" s="658">
        <f t="shared" si="16"/>
        <v>0</v>
      </c>
      <c r="AL173" s="635"/>
      <c r="AM173" s="653">
        <v>144</v>
      </c>
      <c r="AN173" s="653">
        <v>210</v>
      </c>
      <c r="AO173" s="653">
        <v>144</v>
      </c>
      <c r="AP173" s="650">
        <v>0.2036</v>
      </c>
      <c r="AQ173" s="652">
        <f t="shared" si="33"/>
        <v>101.39280000000001</v>
      </c>
      <c r="AR173" s="635"/>
      <c r="AS173" s="659">
        <f t="shared" si="30"/>
        <v>60207.664493136843</v>
      </c>
      <c r="AT173" s="643"/>
      <c r="AU173" s="567"/>
      <c r="AV173" s="567"/>
      <c r="AW173" s="567"/>
      <c r="AX173" s="567">
        <f t="shared" si="36"/>
        <v>60207.664493136843</v>
      </c>
      <c r="AY173" s="660"/>
      <c r="AZ173" s="631"/>
      <c r="BA173" s="490"/>
      <c r="BE173" s="480">
        <v>261.27169313684209</v>
      </c>
      <c r="BF173" s="570">
        <f t="shared" si="34"/>
        <v>0</v>
      </c>
    </row>
    <row r="174" spans="1:58" s="645" customFormat="1" ht="15" x14ac:dyDescent="0.25">
      <c r="A174" s="644" t="s">
        <v>366</v>
      </c>
      <c r="B174" s="644" t="s">
        <v>367</v>
      </c>
      <c r="C174" s="646" t="s">
        <v>368</v>
      </c>
      <c r="D174" s="635">
        <v>304261</v>
      </c>
      <c r="E174" s="663"/>
      <c r="F174" s="664"/>
      <c r="G174" s="551">
        <v>7560</v>
      </c>
      <c r="H174" s="551">
        <v>5250</v>
      </c>
      <c r="I174" s="551">
        <v>6120</v>
      </c>
      <c r="J174" s="649">
        <f t="shared" si="35"/>
        <v>18930</v>
      </c>
      <c r="K174" s="668"/>
      <c r="L174" s="669">
        <f t="shared" si="14"/>
        <v>18930</v>
      </c>
      <c r="M174" s="668" t="s">
        <v>251</v>
      </c>
      <c r="N174" s="553">
        <v>3.6804985850845933</v>
      </c>
      <c r="O174" s="670">
        <f t="shared" si="15"/>
        <v>69672</v>
      </c>
      <c r="P174" s="640"/>
      <c r="Q174" s="653">
        <v>900</v>
      </c>
      <c r="R174" s="653">
        <v>630</v>
      </c>
      <c r="S174" s="653">
        <v>872.57084210526318</v>
      </c>
      <c r="T174" s="650">
        <v>0.2036</v>
      </c>
      <c r="U174" s="652">
        <f t="shared" si="31"/>
        <v>489.1634234526316</v>
      </c>
      <c r="V174" s="640"/>
      <c r="W174" s="653">
        <v>180</v>
      </c>
      <c r="X174" s="653">
        <v>420</v>
      </c>
      <c r="Y174" s="653">
        <v>180</v>
      </c>
      <c r="Z174" s="650">
        <v>1.7611399999999999</v>
      </c>
      <c r="AA174" s="654">
        <f t="shared" si="32"/>
        <v>1373.6892</v>
      </c>
      <c r="AB174" s="635"/>
      <c r="AC174" s="671"/>
      <c r="AD174" s="642"/>
      <c r="AE174" s="671"/>
      <c r="AF174" s="642"/>
      <c r="AG174" s="671"/>
      <c r="AH174" s="635"/>
      <c r="AI174" s="672"/>
      <c r="AJ174" s="673"/>
      <c r="AK174" s="658">
        <f t="shared" si="16"/>
        <v>0</v>
      </c>
      <c r="AL174" s="635"/>
      <c r="AM174" s="653">
        <v>0</v>
      </c>
      <c r="AN174" s="653">
        <v>630</v>
      </c>
      <c r="AO174" s="653">
        <v>0</v>
      </c>
      <c r="AP174" s="650">
        <v>0.2036</v>
      </c>
      <c r="AQ174" s="652">
        <f t="shared" si="33"/>
        <v>128.268</v>
      </c>
      <c r="AR174" s="635"/>
      <c r="AS174" s="659">
        <f t="shared" si="30"/>
        <v>71663.120623452633</v>
      </c>
      <c r="AT174" s="643"/>
      <c r="AU174" s="567"/>
      <c r="AV174" s="567"/>
      <c r="AW174" s="567"/>
      <c r="AX174" s="567">
        <f t="shared" si="36"/>
        <v>71663.120623452633</v>
      </c>
      <c r="AY174" s="660"/>
      <c r="AZ174" s="631"/>
      <c r="BA174" s="490"/>
      <c r="BE174" s="480">
        <v>489.1634234526316</v>
      </c>
      <c r="BF174" s="570">
        <f t="shared" si="34"/>
        <v>0</v>
      </c>
    </row>
    <row r="175" spans="1:58" s="645" customFormat="1" ht="15" x14ac:dyDescent="0.25">
      <c r="A175" s="644" t="s">
        <v>369</v>
      </c>
      <c r="B175" s="644" t="s">
        <v>370</v>
      </c>
      <c r="C175" s="646">
        <v>258404</v>
      </c>
      <c r="D175" s="635">
        <v>258404</v>
      </c>
      <c r="E175" s="663"/>
      <c r="F175" s="664"/>
      <c r="G175" s="551">
        <v>3960</v>
      </c>
      <c r="H175" s="551">
        <v>2940</v>
      </c>
      <c r="I175" s="551">
        <v>3240</v>
      </c>
      <c r="J175" s="649">
        <f t="shared" si="35"/>
        <v>10140</v>
      </c>
      <c r="K175" s="668"/>
      <c r="L175" s="669">
        <f t="shared" si="14"/>
        <v>10140</v>
      </c>
      <c r="M175" s="668" t="s">
        <v>251</v>
      </c>
      <c r="N175" s="553">
        <v>3.6804985850845933</v>
      </c>
      <c r="O175" s="670">
        <f t="shared" si="15"/>
        <v>37320</v>
      </c>
      <c r="P175" s="640"/>
      <c r="Q175" s="653">
        <v>7920</v>
      </c>
      <c r="R175" s="653">
        <v>3990</v>
      </c>
      <c r="S175" s="653">
        <v>8936.2591578947358</v>
      </c>
      <c r="T175" s="650">
        <v>0.2036</v>
      </c>
      <c r="U175" s="652">
        <f t="shared" si="31"/>
        <v>4244.2983645473687</v>
      </c>
      <c r="V175" s="640"/>
      <c r="W175" s="653">
        <v>180</v>
      </c>
      <c r="X175" s="653">
        <v>0</v>
      </c>
      <c r="Y175" s="653">
        <v>180</v>
      </c>
      <c r="Z175" s="650">
        <v>1.7611399999999999</v>
      </c>
      <c r="AA175" s="654">
        <f t="shared" si="32"/>
        <v>634.0104</v>
      </c>
      <c r="AB175" s="635"/>
      <c r="AC175" s="671"/>
      <c r="AD175" s="642"/>
      <c r="AE175" s="671"/>
      <c r="AF175" s="642"/>
      <c r="AG175" s="671"/>
      <c r="AH175" s="635"/>
      <c r="AI175" s="672"/>
      <c r="AJ175" s="673"/>
      <c r="AK175" s="658">
        <f t="shared" si="16"/>
        <v>0</v>
      </c>
      <c r="AL175" s="635"/>
      <c r="AM175" s="653">
        <v>900</v>
      </c>
      <c r="AN175" s="653">
        <v>210</v>
      </c>
      <c r="AO175" s="653">
        <v>900</v>
      </c>
      <c r="AP175" s="650">
        <v>0.2036</v>
      </c>
      <c r="AQ175" s="652">
        <f t="shared" si="33"/>
        <v>409.23599999999999</v>
      </c>
      <c r="AR175" s="635"/>
      <c r="AS175" s="659">
        <f t="shared" si="30"/>
        <v>42607.544764547369</v>
      </c>
      <c r="AT175" s="643"/>
      <c r="AU175" s="567"/>
      <c r="AV175" s="567"/>
      <c r="AW175" s="567"/>
      <c r="AX175" s="567">
        <f t="shared" si="36"/>
        <v>42607.544764547369</v>
      </c>
      <c r="AY175" s="660"/>
      <c r="AZ175" s="631"/>
      <c r="BA175" s="490"/>
      <c r="BE175" s="480">
        <v>4244.2983645473687</v>
      </c>
      <c r="BF175" s="570">
        <f t="shared" si="34"/>
        <v>0</v>
      </c>
    </row>
    <row r="176" spans="1:58" s="645" customFormat="1" ht="15" x14ac:dyDescent="0.25">
      <c r="A176" s="644" t="s">
        <v>371</v>
      </c>
      <c r="B176" s="644" t="s">
        <v>372</v>
      </c>
      <c r="C176" s="646">
        <v>258405</v>
      </c>
      <c r="D176" s="635">
        <v>258405</v>
      </c>
      <c r="E176" s="663"/>
      <c r="F176" s="664"/>
      <c r="G176" s="551">
        <v>10608</v>
      </c>
      <c r="H176" s="551">
        <v>5208</v>
      </c>
      <c r="I176" s="551">
        <v>7908</v>
      </c>
      <c r="J176" s="649">
        <f t="shared" si="35"/>
        <v>23724</v>
      </c>
      <c r="K176" s="668"/>
      <c r="L176" s="669">
        <f t="shared" si="14"/>
        <v>23724</v>
      </c>
      <c r="M176" s="668" t="s">
        <v>251</v>
      </c>
      <c r="N176" s="553">
        <v>3.6804985850845933</v>
      </c>
      <c r="O176" s="670">
        <f t="shared" si="15"/>
        <v>87316</v>
      </c>
      <c r="P176" s="640"/>
      <c r="Q176" s="653">
        <v>3024</v>
      </c>
      <c r="R176" s="653">
        <v>1470</v>
      </c>
      <c r="S176" s="653">
        <v>3006.4215789473683</v>
      </c>
      <c r="T176" s="650">
        <v>0.2036</v>
      </c>
      <c r="U176" s="652">
        <f t="shared" si="31"/>
        <v>1527.0858334736843</v>
      </c>
      <c r="V176" s="640"/>
      <c r="W176" s="653">
        <v>180</v>
      </c>
      <c r="X176" s="653">
        <v>210</v>
      </c>
      <c r="Y176" s="653">
        <v>180</v>
      </c>
      <c r="Z176" s="650">
        <v>1.7611399999999999</v>
      </c>
      <c r="AA176" s="654">
        <f t="shared" si="32"/>
        <v>1003.8498</v>
      </c>
      <c r="AB176" s="635"/>
      <c r="AC176" s="671"/>
      <c r="AD176" s="642"/>
      <c r="AE176" s="671"/>
      <c r="AF176" s="642"/>
      <c r="AG176" s="671"/>
      <c r="AH176" s="635"/>
      <c r="AI176" s="672"/>
      <c r="AJ176" s="673"/>
      <c r="AK176" s="658">
        <f t="shared" si="16"/>
        <v>0</v>
      </c>
      <c r="AL176" s="635"/>
      <c r="AM176" s="653">
        <v>360</v>
      </c>
      <c r="AN176" s="653">
        <v>210</v>
      </c>
      <c r="AO176" s="653">
        <v>360</v>
      </c>
      <c r="AP176" s="650">
        <v>0.2036</v>
      </c>
      <c r="AQ176" s="652">
        <f t="shared" si="33"/>
        <v>189.34800000000001</v>
      </c>
      <c r="AR176" s="635"/>
      <c r="AS176" s="659">
        <f t="shared" si="30"/>
        <v>90036.283633473678</v>
      </c>
      <c r="AT176" s="643"/>
      <c r="AU176" s="567"/>
      <c r="AV176" s="567"/>
      <c r="AW176" s="567"/>
      <c r="AX176" s="567">
        <f t="shared" si="36"/>
        <v>90036.283633473678</v>
      </c>
      <c r="AY176" s="660"/>
      <c r="AZ176" s="631"/>
      <c r="BA176" s="490"/>
      <c r="BE176" s="480">
        <v>1527.0858334736843</v>
      </c>
      <c r="BF176" s="570">
        <f t="shared" si="34"/>
        <v>0</v>
      </c>
    </row>
    <row r="177" spans="1:58" s="645" customFormat="1" ht="15" x14ac:dyDescent="0.25">
      <c r="A177" s="644" t="s">
        <v>373</v>
      </c>
      <c r="B177" s="644" t="s">
        <v>374</v>
      </c>
      <c r="C177" s="646">
        <v>258406</v>
      </c>
      <c r="D177" s="635">
        <v>258406</v>
      </c>
      <c r="E177" s="663"/>
      <c r="F177" s="664"/>
      <c r="G177" s="551">
        <v>12552</v>
      </c>
      <c r="H177" s="551">
        <v>6314</v>
      </c>
      <c r="I177" s="551">
        <v>10896</v>
      </c>
      <c r="J177" s="649">
        <f t="shared" si="35"/>
        <v>29762</v>
      </c>
      <c r="K177" s="668"/>
      <c r="L177" s="669">
        <f t="shared" si="14"/>
        <v>29762</v>
      </c>
      <c r="M177" s="668" t="s">
        <v>251</v>
      </c>
      <c r="N177" s="553">
        <v>3.6804985850845933</v>
      </c>
      <c r="O177" s="670">
        <f t="shared" si="15"/>
        <v>109539</v>
      </c>
      <c r="P177" s="640"/>
      <c r="Q177" s="653">
        <v>5220</v>
      </c>
      <c r="R177" s="653">
        <v>2310</v>
      </c>
      <c r="S177" s="653">
        <v>2980.1027368421055</v>
      </c>
      <c r="T177" s="650">
        <v>0.2036</v>
      </c>
      <c r="U177" s="652">
        <f t="shared" si="31"/>
        <v>2139.8569172210528</v>
      </c>
      <c r="V177" s="640"/>
      <c r="W177" s="653">
        <v>0</v>
      </c>
      <c r="X177" s="653">
        <v>420</v>
      </c>
      <c r="Y177" s="653">
        <v>0</v>
      </c>
      <c r="Z177" s="650">
        <v>1.7611399999999999</v>
      </c>
      <c r="AA177" s="654">
        <f t="shared" si="32"/>
        <v>739.67880000000002</v>
      </c>
      <c r="AB177" s="635"/>
      <c r="AC177" s="671"/>
      <c r="AD177" s="642"/>
      <c r="AE177" s="671"/>
      <c r="AF177" s="642"/>
      <c r="AG177" s="671"/>
      <c r="AH177" s="635"/>
      <c r="AI177" s="672"/>
      <c r="AJ177" s="673"/>
      <c r="AK177" s="658">
        <f t="shared" si="16"/>
        <v>0</v>
      </c>
      <c r="AL177" s="635"/>
      <c r="AM177" s="653">
        <v>0</v>
      </c>
      <c r="AN177" s="653">
        <v>0</v>
      </c>
      <c r="AO177" s="653">
        <v>0</v>
      </c>
      <c r="AP177" s="650">
        <v>0.2036</v>
      </c>
      <c r="AQ177" s="652">
        <f t="shared" si="33"/>
        <v>0</v>
      </c>
      <c r="AR177" s="635"/>
      <c r="AS177" s="659">
        <f t="shared" si="30"/>
        <v>112418.53571722105</v>
      </c>
      <c r="AT177" s="643"/>
      <c r="AU177" s="567"/>
      <c r="AV177" s="567"/>
      <c r="AW177" s="567"/>
      <c r="AX177" s="567">
        <f t="shared" si="36"/>
        <v>112418.53571722105</v>
      </c>
      <c r="AY177" s="660"/>
      <c r="AZ177" s="631"/>
      <c r="BA177" s="490"/>
      <c r="BE177" s="480">
        <v>2139.8569172210528</v>
      </c>
      <c r="BF177" s="570">
        <f t="shared" si="34"/>
        <v>0</v>
      </c>
    </row>
    <row r="178" spans="1:58" s="645" customFormat="1" ht="15" x14ac:dyDescent="0.25">
      <c r="A178" s="644" t="s">
        <v>375</v>
      </c>
      <c r="B178" s="644" t="s">
        <v>376</v>
      </c>
      <c r="C178" s="646">
        <v>206160</v>
      </c>
      <c r="D178" s="635">
        <v>206160</v>
      </c>
      <c r="E178" s="663"/>
      <c r="F178" s="664"/>
      <c r="G178" s="551">
        <v>1344</v>
      </c>
      <c r="H178" s="551">
        <v>210</v>
      </c>
      <c r="I178" s="551">
        <v>1260</v>
      </c>
      <c r="J178" s="649">
        <f t="shared" si="35"/>
        <v>2814</v>
      </c>
      <c r="K178" s="668"/>
      <c r="L178" s="669">
        <f t="shared" si="14"/>
        <v>2814</v>
      </c>
      <c r="M178" s="668" t="s">
        <v>266</v>
      </c>
      <c r="N178" s="553">
        <v>3.6804985850845933</v>
      </c>
      <c r="O178" s="670">
        <f t="shared" si="15"/>
        <v>10357</v>
      </c>
      <c r="P178" s="640"/>
      <c r="Q178" s="653">
        <v>1908</v>
      </c>
      <c r="R178" s="653">
        <v>0</v>
      </c>
      <c r="S178" s="653">
        <v>1797.7793684210528</v>
      </c>
      <c r="T178" s="650">
        <v>0.2036</v>
      </c>
      <c r="U178" s="652">
        <f t="shared" si="31"/>
        <v>754.49667941052633</v>
      </c>
      <c r="V178" s="640"/>
      <c r="W178" s="653">
        <v>0</v>
      </c>
      <c r="X178" s="653">
        <v>0</v>
      </c>
      <c r="Y178" s="653">
        <v>0</v>
      </c>
      <c r="Z178" s="650">
        <v>1.7611399999999999</v>
      </c>
      <c r="AA178" s="654">
        <f t="shared" si="32"/>
        <v>0</v>
      </c>
      <c r="AB178" s="635"/>
      <c r="AC178" s="671"/>
      <c r="AD178" s="642"/>
      <c r="AE178" s="671"/>
      <c r="AF178" s="642"/>
      <c r="AG178" s="671"/>
      <c r="AH178" s="635"/>
      <c r="AI178" s="672"/>
      <c r="AJ178" s="673"/>
      <c r="AK178" s="658">
        <f t="shared" si="16"/>
        <v>0</v>
      </c>
      <c r="AL178" s="635"/>
      <c r="AM178" s="653">
        <v>0</v>
      </c>
      <c r="AN178" s="653">
        <v>0</v>
      </c>
      <c r="AO178" s="653">
        <v>0</v>
      </c>
      <c r="AP178" s="650">
        <v>0.2036</v>
      </c>
      <c r="AQ178" s="652">
        <f t="shared" si="33"/>
        <v>0</v>
      </c>
      <c r="AR178" s="635"/>
      <c r="AS178" s="659">
        <f t="shared" si="30"/>
        <v>11111.496679410526</v>
      </c>
      <c r="AT178" s="643"/>
      <c r="AU178" s="567"/>
      <c r="AV178" s="567"/>
      <c r="AW178" s="567"/>
      <c r="AX178" s="567">
        <f t="shared" si="36"/>
        <v>11111.496679410526</v>
      </c>
      <c r="AY178" s="660"/>
      <c r="AZ178" s="631"/>
      <c r="BA178" s="490"/>
      <c r="BE178" s="480">
        <v>754.49667941052633</v>
      </c>
      <c r="BF178" s="570">
        <f t="shared" si="34"/>
        <v>0</v>
      </c>
    </row>
    <row r="179" spans="1:58" s="645" customFormat="1" ht="15" x14ac:dyDescent="0.25">
      <c r="A179" s="644" t="s">
        <v>377</v>
      </c>
      <c r="B179" s="644" t="s">
        <v>378</v>
      </c>
      <c r="C179" s="646" t="s">
        <v>379</v>
      </c>
      <c r="D179" s="635">
        <v>284120</v>
      </c>
      <c r="E179" s="663"/>
      <c r="F179" s="664"/>
      <c r="G179" s="551">
        <v>9000</v>
      </c>
      <c r="H179" s="551">
        <v>6300</v>
      </c>
      <c r="I179" s="551">
        <v>7200</v>
      </c>
      <c r="J179" s="649">
        <f t="shared" si="35"/>
        <v>22500</v>
      </c>
      <c r="K179" s="668"/>
      <c r="L179" s="669">
        <f t="shared" si="14"/>
        <v>22500</v>
      </c>
      <c r="M179" s="668" t="s">
        <v>251</v>
      </c>
      <c r="N179" s="553">
        <v>3.6804985850845933</v>
      </c>
      <c r="O179" s="670">
        <f t="shared" si="15"/>
        <v>82811</v>
      </c>
      <c r="P179" s="640"/>
      <c r="Q179" s="653">
        <v>9828</v>
      </c>
      <c r="R179" s="653">
        <v>4620</v>
      </c>
      <c r="S179" s="653">
        <v>13062.918631578945</v>
      </c>
      <c r="T179" s="650">
        <v>0.2036</v>
      </c>
      <c r="U179" s="652">
        <f t="shared" si="31"/>
        <v>5601.2230333894731</v>
      </c>
      <c r="V179" s="640"/>
      <c r="W179" s="653">
        <v>0</v>
      </c>
      <c r="X179" s="653">
        <v>210</v>
      </c>
      <c r="Y179" s="653">
        <v>0</v>
      </c>
      <c r="Z179" s="650">
        <v>1.7611399999999999</v>
      </c>
      <c r="AA179" s="654">
        <f t="shared" si="32"/>
        <v>369.83940000000001</v>
      </c>
      <c r="AB179" s="635"/>
      <c r="AC179" s="671"/>
      <c r="AD179" s="642"/>
      <c r="AE179" s="671"/>
      <c r="AF179" s="642"/>
      <c r="AG179" s="671"/>
      <c r="AH179" s="635"/>
      <c r="AI179" s="672"/>
      <c r="AJ179" s="673"/>
      <c r="AK179" s="658">
        <f t="shared" si="16"/>
        <v>0</v>
      </c>
      <c r="AL179" s="635"/>
      <c r="AM179" s="653">
        <v>5520</v>
      </c>
      <c r="AN179" s="653">
        <v>2940</v>
      </c>
      <c r="AO179" s="653">
        <v>5520</v>
      </c>
      <c r="AP179" s="650">
        <v>0.2036</v>
      </c>
      <c r="AQ179" s="652">
        <f t="shared" si="33"/>
        <v>2846.328</v>
      </c>
      <c r="AR179" s="635"/>
      <c r="AS179" s="659">
        <f t="shared" si="30"/>
        <v>91628.390433389475</v>
      </c>
      <c r="AT179" s="643"/>
      <c r="AU179" s="567"/>
      <c r="AV179" s="567"/>
      <c r="AW179" s="567"/>
      <c r="AX179" s="567">
        <f t="shared" si="36"/>
        <v>91628.390433389475</v>
      </c>
      <c r="AY179" s="660"/>
      <c r="AZ179" s="631"/>
      <c r="BA179" s="490"/>
      <c r="BE179" s="480">
        <v>5601.2230333894731</v>
      </c>
      <c r="BF179" s="570">
        <f t="shared" si="34"/>
        <v>0</v>
      </c>
    </row>
    <row r="180" spans="1:58" s="645" customFormat="1" ht="15" x14ac:dyDescent="0.25">
      <c r="A180" s="681" t="s">
        <v>380</v>
      </c>
      <c r="B180" s="644"/>
      <c r="C180" s="662" t="s">
        <v>381</v>
      </c>
      <c r="D180" s="635">
        <v>331291</v>
      </c>
      <c r="E180" s="663"/>
      <c r="F180" s="664"/>
      <c r="G180" s="551">
        <v>0</v>
      </c>
      <c r="H180" s="551">
        <v>0</v>
      </c>
      <c r="I180" s="551">
        <v>0</v>
      </c>
      <c r="J180" s="649">
        <f t="shared" si="35"/>
        <v>0</v>
      </c>
      <c r="K180" s="668"/>
      <c r="L180" s="669">
        <f t="shared" si="14"/>
        <v>0</v>
      </c>
      <c r="M180" s="668" t="s">
        <v>251</v>
      </c>
      <c r="N180" s="553">
        <v>3.6804985850845933</v>
      </c>
      <c r="O180" s="670">
        <f t="shared" si="15"/>
        <v>0</v>
      </c>
      <c r="P180" s="640"/>
      <c r="Q180" s="653">
        <v>0</v>
      </c>
      <c r="R180" s="653">
        <v>0</v>
      </c>
      <c r="S180" s="653">
        <v>0</v>
      </c>
      <c r="T180" s="650">
        <v>0.2036</v>
      </c>
      <c r="U180" s="652">
        <f t="shared" si="31"/>
        <v>0</v>
      </c>
      <c r="V180" s="640"/>
      <c r="W180" s="653">
        <v>0</v>
      </c>
      <c r="X180" s="653">
        <v>0</v>
      </c>
      <c r="Y180" s="653">
        <v>0</v>
      </c>
      <c r="Z180" s="650">
        <v>1.7611399999999999</v>
      </c>
      <c r="AA180" s="654">
        <f t="shared" si="32"/>
        <v>0</v>
      </c>
      <c r="AB180" s="635"/>
      <c r="AC180" s="671"/>
      <c r="AD180" s="642"/>
      <c r="AE180" s="671"/>
      <c r="AF180" s="642"/>
      <c r="AG180" s="671"/>
      <c r="AH180" s="635"/>
      <c r="AI180" s="672"/>
      <c r="AJ180" s="673"/>
      <c r="AK180" s="658">
        <f t="shared" si="16"/>
        <v>0</v>
      </c>
      <c r="AL180" s="635"/>
      <c r="AM180" s="653">
        <v>0</v>
      </c>
      <c r="AN180" s="653">
        <v>0</v>
      </c>
      <c r="AO180" s="653">
        <v>0</v>
      </c>
      <c r="AP180" s="650">
        <v>0.2036</v>
      </c>
      <c r="AQ180" s="652">
        <f t="shared" si="33"/>
        <v>0</v>
      </c>
      <c r="AR180" s="635"/>
      <c r="AS180" s="659">
        <f t="shared" si="30"/>
        <v>0</v>
      </c>
      <c r="AT180" s="643"/>
      <c r="AU180" s="567"/>
      <c r="AV180" s="567"/>
      <c r="AW180" s="567"/>
      <c r="AX180" s="567">
        <f t="shared" si="36"/>
        <v>0</v>
      </c>
      <c r="AY180" s="660"/>
      <c r="AZ180" s="631"/>
      <c r="BA180" s="490"/>
      <c r="BE180" s="480">
        <v>0</v>
      </c>
      <c r="BF180" s="570">
        <f t="shared" si="34"/>
        <v>0</v>
      </c>
    </row>
    <row r="181" spans="1:58" s="645" customFormat="1" ht="15" x14ac:dyDescent="0.25">
      <c r="A181" s="726" t="s">
        <v>873</v>
      </c>
      <c r="B181" s="489"/>
      <c r="C181" s="584" t="s">
        <v>874</v>
      </c>
      <c r="D181" s="635">
        <v>474393</v>
      </c>
      <c r="E181" s="663"/>
      <c r="F181" s="664"/>
      <c r="G181" s="551">
        <v>3600</v>
      </c>
      <c r="H181" s="551">
        <v>1470</v>
      </c>
      <c r="I181" s="551">
        <v>1800</v>
      </c>
      <c r="J181" s="649">
        <f t="shared" si="35"/>
        <v>6870</v>
      </c>
      <c r="K181" s="668"/>
      <c r="L181" s="669">
        <f t="shared" si="14"/>
        <v>6870</v>
      </c>
      <c r="M181" s="668" t="s">
        <v>251</v>
      </c>
      <c r="N181" s="553">
        <v>3.6804985850845933</v>
      </c>
      <c r="O181" s="670">
        <f t="shared" si="15"/>
        <v>25285</v>
      </c>
      <c r="P181" s="640"/>
      <c r="Q181" s="653">
        <v>10260</v>
      </c>
      <c r="R181" s="653">
        <v>3150</v>
      </c>
      <c r="S181" s="653">
        <v>0</v>
      </c>
      <c r="T181" s="650">
        <v>0.2036</v>
      </c>
      <c r="U181" s="652">
        <f t="shared" si="31"/>
        <v>2730.2759999999998</v>
      </c>
      <c r="V181" s="640"/>
      <c r="W181" s="653">
        <v>0</v>
      </c>
      <c r="X181" s="653">
        <v>0</v>
      </c>
      <c r="Y181" s="653">
        <v>0</v>
      </c>
      <c r="Z181" s="650">
        <v>1.7611399999999999</v>
      </c>
      <c r="AA181" s="654">
        <f t="shared" si="32"/>
        <v>0</v>
      </c>
      <c r="AB181" s="635"/>
      <c r="AC181" s="671"/>
      <c r="AD181" s="642"/>
      <c r="AE181" s="671"/>
      <c r="AF181" s="642"/>
      <c r="AG181" s="671"/>
      <c r="AH181" s="635"/>
      <c r="AI181" s="672"/>
      <c r="AJ181" s="673"/>
      <c r="AK181" s="658">
        <f t="shared" si="16"/>
        <v>0</v>
      </c>
      <c r="AL181" s="635"/>
      <c r="AM181" s="653">
        <v>2160</v>
      </c>
      <c r="AN181" s="653">
        <v>630</v>
      </c>
      <c r="AO181" s="653">
        <v>2160</v>
      </c>
      <c r="AP181" s="650">
        <v>0.2036</v>
      </c>
      <c r="AQ181" s="652">
        <f t="shared" si="33"/>
        <v>1007.82</v>
      </c>
      <c r="AR181" s="635"/>
      <c r="AS181" s="659">
        <f t="shared" ref="AS181:AS217" si="37">SUM(AQ181,AK181,AA181,U181,O181,AC181,AE181,AG181)</f>
        <v>29023.096000000001</v>
      </c>
      <c r="AT181" s="643"/>
      <c r="AU181" s="567"/>
      <c r="AV181" s="567"/>
      <c r="AW181" s="567"/>
      <c r="AX181" s="567">
        <f t="shared" si="36"/>
        <v>29023.096000000001</v>
      </c>
      <c r="AY181" s="660"/>
      <c r="AZ181" s="631"/>
      <c r="BA181" s="490"/>
      <c r="BE181" s="480">
        <v>2730.2759999999998</v>
      </c>
      <c r="BF181" s="570">
        <f t="shared" si="34"/>
        <v>0</v>
      </c>
    </row>
    <row r="182" spans="1:58" s="645" customFormat="1" ht="15" x14ac:dyDescent="0.25">
      <c r="A182" s="644" t="s">
        <v>382</v>
      </c>
      <c r="B182" s="644" t="s">
        <v>383</v>
      </c>
      <c r="C182" s="646" t="s">
        <v>384</v>
      </c>
      <c r="D182" s="635">
        <v>261314</v>
      </c>
      <c r="E182" s="663"/>
      <c r="F182" s="664"/>
      <c r="G182" s="551">
        <v>0</v>
      </c>
      <c r="H182" s="551">
        <v>0</v>
      </c>
      <c r="I182" s="551">
        <v>0</v>
      </c>
      <c r="J182" s="649">
        <f t="shared" si="35"/>
        <v>0</v>
      </c>
      <c r="K182" s="668"/>
      <c r="L182" s="669">
        <f t="shared" si="14"/>
        <v>0</v>
      </c>
      <c r="M182" s="668" t="s">
        <v>251</v>
      </c>
      <c r="N182" s="553">
        <v>3.6804985850845933</v>
      </c>
      <c r="O182" s="670">
        <f t="shared" si="15"/>
        <v>0</v>
      </c>
      <c r="P182" s="640"/>
      <c r="Q182" s="653">
        <v>0</v>
      </c>
      <c r="R182" s="653">
        <v>0</v>
      </c>
      <c r="S182" s="653">
        <v>0</v>
      </c>
      <c r="T182" s="650">
        <v>0.2036</v>
      </c>
      <c r="U182" s="652">
        <f t="shared" si="31"/>
        <v>0</v>
      </c>
      <c r="V182" s="640"/>
      <c r="W182" s="653">
        <v>0</v>
      </c>
      <c r="X182" s="653">
        <v>0</v>
      </c>
      <c r="Y182" s="653">
        <v>0</v>
      </c>
      <c r="Z182" s="650">
        <v>1.7611399999999999</v>
      </c>
      <c r="AA182" s="654">
        <f t="shared" si="32"/>
        <v>0</v>
      </c>
      <c r="AB182" s="635"/>
      <c r="AC182" s="671"/>
      <c r="AD182" s="642"/>
      <c r="AE182" s="671"/>
      <c r="AF182" s="642"/>
      <c r="AG182" s="671"/>
      <c r="AH182" s="635"/>
      <c r="AI182" s="672"/>
      <c r="AJ182" s="673"/>
      <c r="AK182" s="658">
        <f t="shared" si="16"/>
        <v>0</v>
      </c>
      <c r="AL182" s="635"/>
      <c r="AM182" s="653">
        <v>0</v>
      </c>
      <c r="AN182" s="653">
        <v>0</v>
      </c>
      <c r="AO182" s="653">
        <v>0</v>
      </c>
      <c r="AP182" s="650">
        <v>0.2036</v>
      </c>
      <c r="AQ182" s="652">
        <f t="shared" si="33"/>
        <v>0</v>
      </c>
      <c r="AR182" s="635"/>
      <c r="AS182" s="659">
        <f t="shared" si="37"/>
        <v>0</v>
      </c>
      <c r="AT182" s="643"/>
      <c r="AU182" s="567"/>
      <c r="AV182" s="567"/>
      <c r="AW182" s="567"/>
      <c r="AX182" s="567">
        <f t="shared" si="36"/>
        <v>0</v>
      </c>
      <c r="AY182" s="660"/>
      <c r="AZ182" s="631"/>
      <c r="BA182" s="490"/>
      <c r="BE182" s="480">
        <v>0</v>
      </c>
      <c r="BF182" s="570">
        <f t="shared" si="34"/>
        <v>0</v>
      </c>
    </row>
    <row r="183" spans="1:58" s="645" customFormat="1" ht="15" x14ac:dyDescent="0.25">
      <c r="A183" s="644" t="s">
        <v>385</v>
      </c>
      <c r="B183" s="644" t="s">
        <v>386</v>
      </c>
      <c r="C183" s="646">
        <v>206146</v>
      </c>
      <c r="D183" s="635">
        <v>206146</v>
      </c>
      <c r="E183" s="663"/>
      <c r="F183" s="664"/>
      <c r="G183" s="551">
        <v>7020</v>
      </c>
      <c r="H183" s="551">
        <v>5250</v>
      </c>
      <c r="I183" s="551">
        <v>5400</v>
      </c>
      <c r="J183" s="649">
        <f t="shared" si="35"/>
        <v>17670</v>
      </c>
      <c r="K183" s="668"/>
      <c r="L183" s="669">
        <f t="shared" si="14"/>
        <v>17670</v>
      </c>
      <c r="M183" s="668" t="s">
        <v>266</v>
      </c>
      <c r="N183" s="553">
        <v>3.6804985850845933</v>
      </c>
      <c r="O183" s="670">
        <f t="shared" si="15"/>
        <v>65034</v>
      </c>
      <c r="P183" s="640"/>
      <c r="Q183" s="653">
        <v>2700</v>
      </c>
      <c r="R183" s="653">
        <v>1890</v>
      </c>
      <c r="S183" s="653">
        <v>3439.6702105263166</v>
      </c>
      <c r="T183" s="650">
        <v>0.2036</v>
      </c>
      <c r="U183" s="652">
        <f t="shared" si="31"/>
        <v>1634.840854863158</v>
      </c>
      <c r="V183" s="640"/>
      <c r="W183" s="653">
        <v>180</v>
      </c>
      <c r="X183" s="653">
        <v>0</v>
      </c>
      <c r="Y183" s="653">
        <v>180</v>
      </c>
      <c r="Z183" s="650">
        <v>1.7611399999999999</v>
      </c>
      <c r="AA183" s="654">
        <f t="shared" si="32"/>
        <v>634.0104</v>
      </c>
      <c r="AB183" s="635"/>
      <c r="AC183" s="671"/>
      <c r="AD183" s="642"/>
      <c r="AE183" s="671"/>
      <c r="AF183" s="642"/>
      <c r="AG183" s="671"/>
      <c r="AH183" s="635"/>
      <c r="AI183" s="672"/>
      <c r="AJ183" s="673"/>
      <c r="AK183" s="658">
        <f t="shared" si="16"/>
        <v>0</v>
      </c>
      <c r="AL183" s="635"/>
      <c r="AM183" s="653">
        <v>180</v>
      </c>
      <c r="AN183" s="653">
        <v>0</v>
      </c>
      <c r="AO183" s="653">
        <v>180</v>
      </c>
      <c r="AP183" s="650">
        <v>0.2036</v>
      </c>
      <c r="AQ183" s="652">
        <f t="shared" si="33"/>
        <v>73.296000000000006</v>
      </c>
      <c r="AR183" s="635"/>
      <c r="AS183" s="659">
        <f t="shared" si="37"/>
        <v>67376.147254863157</v>
      </c>
      <c r="AT183" s="643"/>
      <c r="AU183" s="567"/>
      <c r="AV183" s="567"/>
      <c r="AW183" s="567"/>
      <c r="AX183" s="567">
        <f t="shared" si="36"/>
        <v>67376.147254863157</v>
      </c>
      <c r="AY183" s="660"/>
      <c r="AZ183" s="631"/>
      <c r="BA183" s="490"/>
      <c r="BE183" s="480">
        <v>1634.840854863158</v>
      </c>
      <c r="BF183" s="570">
        <f t="shared" si="34"/>
        <v>0</v>
      </c>
    </row>
    <row r="184" spans="1:58" s="645" customFormat="1" ht="15" x14ac:dyDescent="0.25">
      <c r="A184" s="681" t="s">
        <v>387</v>
      </c>
      <c r="B184" s="644"/>
      <c r="C184" s="662" t="s">
        <v>388</v>
      </c>
      <c r="D184" s="635">
        <v>370198</v>
      </c>
      <c r="E184" s="663"/>
      <c r="F184" s="664"/>
      <c r="G184" s="551">
        <v>4068</v>
      </c>
      <c r="H184" s="551">
        <v>3892</v>
      </c>
      <c r="I184" s="551">
        <v>2916</v>
      </c>
      <c r="J184" s="649">
        <f t="shared" si="35"/>
        <v>10876</v>
      </c>
      <c r="K184" s="668"/>
      <c r="L184" s="669">
        <f t="shared" si="14"/>
        <v>10876</v>
      </c>
      <c r="M184" s="668" t="s">
        <v>251</v>
      </c>
      <c r="N184" s="553">
        <v>3.6804985850845933</v>
      </c>
      <c r="O184" s="670">
        <f t="shared" si="15"/>
        <v>40029</v>
      </c>
      <c r="P184" s="640"/>
      <c r="Q184" s="653">
        <v>8904</v>
      </c>
      <c r="R184" s="653">
        <v>9534</v>
      </c>
      <c r="S184" s="653">
        <v>4415.4918947368424</v>
      </c>
      <c r="T184" s="650">
        <v>0.2036</v>
      </c>
      <c r="U184" s="652">
        <f t="shared" si="31"/>
        <v>4652.9709497684216</v>
      </c>
      <c r="V184" s="640"/>
      <c r="W184" s="653">
        <v>0</v>
      </c>
      <c r="X184" s="653">
        <v>0</v>
      </c>
      <c r="Y184" s="653">
        <v>0</v>
      </c>
      <c r="Z184" s="650">
        <v>1.7611399999999999</v>
      </c>
      <c r="AA184" s="654">
        <f t="shared" si="32"/>
        <v>0</v>
      </c>
      <c r="AB184" s="635"/>
      <c r="AC184" s="671"/>
      <c r="AD184" s="642"/>
      <c r="AE184" s="671"/>
      <c r="AF184" s="642"/>
      <c r="AG184" s="671"/>
      <c r="AH184" s="635"/>
      <c r="AI184" s="672"/>
      <c r="AJ184" s="673"/>
      <c r="AK184" s="658">
        <f t="shared" si="16"/>
        <v>0</v>
      </c>
      <c r="AL184" s="635"/>
      <c r="AM184" s="653">
        <v>2796</v>
      </c>
      <c r="AN184" s="653">
        <v>1988</v>
      </c>
      <c r="AO184" s="653">
        <v>2796</v>
      </c>
      <c r="AP184" s="650">
        <v>0.2036</v>
      </c>
      <c r="AQ184" s="652">
        <f t="shared" si="33"/>
        <v>1543.288</v>
      </c>
      <c r="AR184" s="635"/>
      <c r="AS184" s="659">
        <f t="shared" si="37"/>
        <v>46225.258949768424</v>
      </c>
      <c r="AT184" s="643"/>
      <c r="AU184" s="567"/>
      <c r="AV184" s="567"/>
      <c r="AW184" s="567"/>
      <c r="AX184" s="567">
        <f t="shared" si="36"/>
        <v>46225.258949768424</v>
      </c>
      <c r="AY184" s="660"/>
      <c r="AZ184" s="631"/>
      <c r="BA184" s="490"/>
      <c r="BE184" s="480">
        <v>4652.9709497684216</v>
      </c>
      <c r="BF184" s="570">
        <f t="shared" si="34"/>
        <v>0</v>
      </c>
    </row>
    <row r="185" spans="1:58" s="645" customFormat="1" ht="15" x14ac:dyDescent="0.25">
      <c r="A185" s="644" t="s">
        <v>875</v>
      </c>
      <c r="B185" s="644" t="s">
        <v>389</v>
      </c>
      <c r="C185" s="710" t="s">
        <v>876</v>
      </c>
      <c r="D185" s="635">
        <v>461565</v>
      </c>
      <c r="E185" s="663"/>
      <c r="F185" s="664"/>
      <c r="G185" s="551">
        <v>0</v>
      </c>
      <c r="H185" s="551">
        <v>0</v>
      </c>
      <c r="I185" s="551">
        <v>0</v>
      </c>
      <c r="J185" s="649">
        <f t="shared" si="35"/>
        <v>0</v>
      </c>
      <c r="K185" s="668"/>
      <c r="L185" s="669">
        <f t="shared" si="14"/>
        <v>0</v>
      </c>
      <c r="M185" s="668" t="s">
        <v>251</v>
      </c>
      <c r="N185" s="553">
        <v>3.6804985850845933</v>
      </c>
      <c r="O185" s="670">
        <f t="shared" si="15"/>
        <v>0</v>
      </c>
      <c r="P185" s="640"/>
      <c r="Q185" s="653">
        <v>0</v>
      </c>
      <c r="R185" s="653">
        <v>0</v>
      </c>
      <c r="S185" s="653">
        <v>0</v>
      </c>
      <c r="T185" s="650">
        <v>0.2036</v>
      </c>
      <c r="U185" s="652">
        <f t="shared" si="31"/>
        <v>0</v>
      </c>
      <c r="V185" s="640"/>
      <c r="W185" s="653">
        <v>0</v>
      </c>
      <c r="X185" s="653">
        <v>0</v>
      </c>
      <c r="Y185" s="653">
        <v>0</v>
      </c>
      <c r="Z185" s="650">
        <v>1.7611399999999999</v>
      </c>
      <c r="AA185" s="654">
        <f t="shared" si="32"/>
        <v>0</v>
      </c>
      <c r="AB185" s="635"/>
      <c r="AC185" s="671"/>
      <c r="AD185" s="642"/>
      <c r="AE185" s="671"/>
      <c r="AF185" s="642"/>
      <c r="AG185" s="671"/>
      <c r="AH185" s="635"/>
      <c r="AI185" s="672"/>
      <c r="AJ185" s="673"/>
      <c r="AK185" s="658">
        <f t="shared" si="16"/>
        <v>0</v>
      </c>
      <c r="AL185" s="635"/>
      <c r="AM185" s="653">
        <v>0</v>
      </c>
      <c r="AN185" s="653">
        <v>0</v>
      </c>
      <c r="AO185" s="653">
        <v>0</v>
      </c>
      <c r="AP185" s="650">
        <v>0.2036</v>
      </c>
      <c r="AQ185" s="652">
        <f t="shared" si="33"/>
        <v>0</v>
      </c>
      <c r="AR185" s="635"/>
      <c r="AS185" s="659">
        <f t="shared" si="37"/>
        <v>0</v>
      </c>
      <c r="AT185" s="643"/>
      <c r="AU185" s="567"/>
      <c r="AV185" s="567"/>
      <c r="AW185" s="567"/>
      <c r="AX185" s="567">
        <f t="shared" si="36"/>
        <v>0</v>
      </c>
      <c r="AY185" s="660" t="s">
        <v>869</v>
      </c>
      <c r="BA185" s="490"/>
      <c r="BE185" s="480">
        <v>0</v>
      </c>
      <c r="BF185" s="570">
        <f t="shared" si="34"/>
        <v>0</v>
      </c>
    </row>
    <row r="186" spans="1:58" s="645" customFormat="1" ht="15" x14ac:dyDescent="0.25">
      <c r="A186" s="644" t="s">
        <v>877</v>
      </c>
      <c r="B186" s="644" t="s">
        <v>389</v>
      </c>
      <c r="C186" s="710" t="s">
        <v>878</v>
      </c>
      <c r="D186" s="635">
        <v>461568</v>
      </c>
      <c r="E186" s="663"/>
      <c r="F186" s="664"/>
      <c r="G186" s="551">
        <v>0</v>
      </c>
      <c r="H186" s="551">
        <v>0</v>
      </c>
      <c r="I186" s="551">
        <v>0</v>
      </c>
      <c r="J186" s="649">
        <f t="shared" si="35"/>
        <v>0</v>
      </c>
      <c r="K186" s="668"/>
      <c r="L186" s="669">
        <f t="shared" si="14"/>
        <v>0</v>
      </c>
      <c r="M186" s="668" t="s">
        <v>251</v>
      </c>
      <c r="N186" s="553">
        <v>3.6804985850845933</v>
      </c>
      <c r="O186" s="670">
        <f t="shared" si="15"/>
        <v>0</v>
      </c>
      <c r="P186" s="640"/>
      <c r="Q186" s="653">
        <v>0</v>
      </c>
      <c r="R186" s="653">
        <v>0</v>
      </c>
      <c r="S186" s="653">
        <v>0</v>
      </c>
      <c r="T186" s="650">
        <v>0.2036</v>
      </c>
      <c r="U186" s="652">
        <f t="shared" si="31"/>
        <v>0</v>
      </c>
      <c r="V186" s="640"/>
      <c r="W186" s="653">
        <v>0</v>
      </c>
      <c r="X186" s="653">
        <v>0</v>
      </c>
      <c r="Y186" s="653">
        <v>0</v>
      </c>
      <c r="Z186" s="650">
        <v>1.7611399999999999</v>
      </c>
      <c r="AA186" s="654">
        <f t="shared" si="32"/>
        <v>0</v>
      </c>
      <c r="AB186" s="635"/>
      <c r="AC186" s="671"/>
      <c r="AD186" s="642"/>
      <c r="AE186" s="671"/>
      <c r="AF186" s="642"/>
      <c r="AG186" s="671"/>
      <c r="AH186" s="635"/>
      <c r="AI186" s="672"/>
      <c r="AJ186" s="673"/>
      <c r="AK186" s="658">
        <f t="shared" si="16"/>
        <v>0</v>
      </c>
      <c r="AL186" s="635"/>
      <c r="AM186" s="653">
        <v>0</v>
      </c>
      <c r="AN186" s="653">
        <v>0</v>
      </c>
      <c r="AO186" s="653">
        <v>0</v>
      </c>
      <c r="AP186" s="650">
        <v>0.2036</v>
      </c>
      <c r="AQ186" s="652">
        <f t="shared" si="33"/>
        <v>0</v>
      </c>
      <c r="AR186" s="635"/>
      <c r="AS186" s="659">
        <f t="shared" si="37"/>
        <v>0</v>
      </c>
      <c r="AT186" s="643"/>
      <c r="AU186" s="567"/>
      <c r="AV186" s="567"/>
      <c r="AW186" s="567"/>
      <c r="AX186" s="567">
        <f t="shared" si="36"/>
        <v>0</v>
      </c>
      <c r="AY186" s="660" t="s">
        <v>869</v>
      </c>
      <c r="BA186" s="490"/>
      <c r="BE186" s="480">
        <v>0</v>
      </c>
      <c r="BF186" s="570">
        <f t="shared" si="34"/>
        <v>0</v>
      </c>
    </row>
    <row r="187" spans="1:58" s="645" customFormat="1" ht="15" x14ac:dyDescent="0.25">
      <c r="A187" s="727" t="s">
        <v>390</v>
      </c>
      <c r="B187" s="644" t="s">
        <v>389</v>
      </c>
      <c r="C187" s="646" t="s">
        <v>391</v>
      </c>
      <c r="D187" s="635">
        <v>283730</v>
      </c>
      <c r="E187" s="663"/>
      <c r="F187" s="664"/>
      <c r="G187" s="551">
        <v>0</v>
      </c>
      <c r="H187" s="551">
        <v>0</v>
      </c>
      <c r="I187" s="551">
        <v>0</v>
      </c>
      <c r="J187" s="649">
        <f t="shared" si="35"/>
        <v>0</v>
      </c>
      <c r="K187" s="668"/>
      <c r="L187" s="669">
        <f t="shared" si="14"/>
        <v>0</v>
      </c>
      <c r="M187" s="668" t="s">
        <v>251</v>
      </c>
      <c r="N187" s="553">
        <v>3.6804985850845933</v>
      </c>
      <c r="O187" s="670">
        <f t="shared" si="15"/>
        <v>0</v>
      </c>
      <c r="P187" s="640"/>
      <c r="Q187" s="653">
        <v>0</v>
      </c>
      <c r="R187" s="653">
        <v>0</v>
      </c>
      <c r="S187" s="653">
        <v>0</v>
      </c>
      <c r="T187" s="650">
        <v>0.2036</v>
      </c>
      <c r="U187" s="652">
        <f t="shared" si="31"/>
        <v>0</v>
      </c>
      <c r="V187" s="640"/>
      <c r="W187" s="653">
        <v>0</v>
      </c>
      <c r="X187" s="653">
        <v>0</v>
      </c>
      <c r="Y187" s="653">
        <v>0</v>
      </c>
      <c r="Z187" s="650">
        <v>1.7611399999999999</v>
      </c>
      <c r="AA187" s="654">
        <f t="shared" si="32"/>
        <v>0</v>
      </c>
      <c r="AB187" s="635"/>
      <c r="AC187" s="671"/>
      <c r="AD187" s="642"/>
      <c r="AE187" s="671"/>
      <c r="AF187" s="642"/>
      <c r="AG187" s="671"/>
      <c r="AH187" s="635"/>
      <c r="AI187" s="672"/>
      <c r="AJ187" s="673"/>
      <c r="AK187" s="658">
        <f t="shared" si="16"/>
        <v>0</v>
      </c>
      <c r="AL187" s="635"/>
      <c r="AM187" s="653">
        <v>0</v>
      </c>
      <c r="AN187" s="653">
        <v>0</v>
      </c>
      <c r="AO187" s="653">
        <v>0</v>
      </c>
      <c r="AP187" s="650">
        <v>0.2036</v>
      </c>
      <c r="AQ187" s="652">
        <f t="shared" si="33"/>
        <v>0</v>
      </c>
      <c r="AR187" s="635"/>
      <c r="AS187" s="659">
        <f t="shared" si="37"/>
        <v>0</v>
      </c>
      <c r="AT187" s="643"/>
      <c r="AU187" s="567"/>
      <c r="AV187" s="567"/>
      <c r="AW187" s="567"/>
      <c r="AX187" s="567">
        <f t="shared" si="36"/>
        <v>0</v>
      </c>
      <c r="AY187" s="728" t="s">
        <v>879</v>
      </c>
      <c r="BA187" s="490"/>
      <c r="BE187" s="480">
        <v>0</v>
      </c>
      <c r="BF187" s="570">
        <f t="shared" si="34"/>
        <v>0</v>
      </c>
    </row>
    <row r="188" spans="1:58" s="645" customFormat="1" ht="15" x14ac:dyDescent="0.25">
      <c r="A188" s="716" t="s">
        <v>390</v>
      </c>
      <c r="B188" s="489"/>
      <c r="C188" s="729" t="s">
        <v>880</v>
      </c>
      <c r="D188" s="635">
        <v>472250</v>
      </c>
      <c r="E188" s="663"/>
      <c r="F188" s="664"/>
      <c r="G188" s="551">
        <v>0</v>
      </c>
      <c r="H188" s="551">
        <v>0</v>
      </c>
      <c r="I188" s="551">
        <v>0</v>
      </c>
      <c r="J188" s="649">
        <f t="shared" si="35"/>
        <v>0</v>
      </c>
      <c r="K188" s="668"/>
      <c r="L188" s="669">
        <f t="shared" si="14"/>
        <v>0</v>
      </c>
      <c r="M188" s="668" t="s">
        <v>251</v>
      </c>
      <c r="N188" s="553">
        <v>3.6804985850845933</v>
      </c>
      <c r="O188" s="670">
        <f t="shared" si="15"/>
        <v>0</v>
      </c>
      <c r="P188" s="640"/>
      <c r="Q188" s="653">
        <v>0</v>
      </c>
      <c r="R188" s="653">
        <v>0</v>
      </c>
      <c r="S188" s="653">
        <v>0</v>
      </c>
      <c r="T188" s="650">
        <v>0.2036</v>
      </c>
      <c r="U188" s="652">
        <f t="shared" si="31"/>
        <v>0</v>
      </c>
      <c r="V188" s="640"/>
      <c r="W188" s="653">
        <v>0</v>
      </c>
      <c r="X188" s="653">
        <v>0</v>
      </c>
      <c r="Y188" s="653">
        <v>0</v>
      </c>
      <c r="Z188" s="650">
        <v>1.7611399999999999</v>
      </c>
      <c r="AA188" s="654">
        <f t="shared" si="32"/>
        <v>0</v>
      </c>
      <c r="AB188" s="635"/>
      <c r="AC188" s="671"/>
      <c r="AD188" s="642"/>
      <c r="AE188" s="671"/>
      <c r="AF188" s="642"/>
      <c r="AG188" s="671"/>
      <c r="AH188" s="635"/>
      <c r="AI188" s="672"/>
      <c r="AJ188" s="673"/>
      <c r="AK188" s="658">
        <f t="shared" si="16"/>
        <v>0</v>
      </c>
      <c r="AL188" s="635"/>
      <c r="AM188" s="653">
        <v>0</v>
      </c>
      <c r="AN188" s="653">
        <v>0</v>
      </c>
      <c r="AO188" s="653">
        <v>0</v>
      </c>
      <c r="AP188" s="650">
        <v>0.2036</v>
      </c>
      <c r="AQ188" s="652">
        <f t="shared" si="33"/>
        <v>0</v>
      </c>
      <c r="AR188" s="635"/>
      <c r="AS188" s="659">
        <f t="shared" si="37"/>
        <v>0</v>
      </c>
      <c r="AT188" s="643"/>
      <c r="AU188" s="567"/>
      <c r="AV188" s="567"/>
      <c r="AW188" s="567"/>
      <c r="AX188" s="567">
        <f t="shared" si="36"/>
        <v>0</v>
      </c>
      <c r="AY188" s="718" t="s">
        <v>866</v>
      </c>
      <c r="BA188" s="490"/>
      <c r="BE188" s="480">
        <v>0</v>
      </c>
      <c r="BF188" s="570">
        <f t="shared" si="34"/>
        <v>0</v>
      </c>
    </row>
    <row r="189" spans="1:58" s="645" customFormat="1" ht="15" x14ac:dyDescent="0.25">
      <c r="A189" s="644" t="s">
        <v>392</v>
      </c>
      <c r="B189" s="644" t="s">
        <v>393</v>
      </c>
      <c r="C189" s="646" t="s">
        <v>394</v>
      </c>
      <c r="D189" s="635">
        <v>283239</v>
      </c>
      <c r="E189" s="663"/>
      <c r="F189" s="664"/>
      <c r="G189" s="551">
        <v>4608</v>
      </c>
      <c r="H189" s="551">
        <v>4788</v>
      </c>
      <c r="I189" s="551">
        <v>5580</v>
      </c>
      <c r="J189" s="649">
        <f t="shared" si="35"/>
        <v>14976</v>
      </c>
      <c r="K189" s="668"/>
      <c r="L189" s="669">
        <f t="shared" si="14"/>
        <v>14976</v>
      </c>
      <c r="M189" s="668" t="s">
        <v>251</v>
      </c>
      <c r="N189" s="553">
        <v>3.6804985850845933</v>
      </c>
      <c r="O189" s="670">
        <f t="shared" si="15"/>
        <v>55119</v>
      </c>
      <c r="P189" s="640"/>
      <c r="Q189" s="653">
        <v>6264</v>
      </c>
      <c r="R189" s="653">
        <v>4158</v>
      </c>
      <c r="S189" s="653">
        <v>3299.9778947368427</v>
      </c>
      <c r="T189" s="650">
        <v>0.2036</v>
      </c>
      <c r="U189" s="652">
        <f t="shared" si="31"/>
        <v>2793.7946993684213</v>
      </c>
      <c r="V189" s="640"/>
      <c r="W189" s="653">
        <v>180</v>
      </c>
      <c r="X189" s="653">
        <v>0</v>
      </c>
      <c r="Y189" s="653">
        <v>180</v>
      </c>
      <c r="Z189" s="650">
        <v>1.7611399999999999</v>
      </c>
      <c r="AA189" s="654">
        <f t="shared" si="32"/>
        <v>634.0104</v>
      </c>
      <c r="AB189" s="635"/>
      <c r="AC189" s="671"/>
      <c r="AD189" s="642"/>
      <c r="AE189" s="671"/>
      <c r="AF189" s="642"/>
      <c r="AG189" s="671"/>
      <c r="AH189" s="635"/>
      <c r="AI189" s="672"/>
      <c r="AJ189" s="673"/>
      <c r="AK189" s="658">
        <f t="shared" si="16"/>
        <v>0</v>
      </c>
      <c r="AL189" s="635"/>
      <c r="AM189" s="653">
        <v>360</v>
      </c>
      <c r="AN189" s="653">
        <v>210</v>
      </c>
      <c r="AO189" s="653">
        <v>360</v>
      </c>
      <c r="AP189" s="650">
        <v>0.2036</v>
      </c>
      <c r="AQ189" s="652">
        <f t="shared" si="33"/>
        <v>189.34800000000001</v>
      </c>
      <c r="AR189" s="635"/>
      <c r="AS189" s="659">
        <f t="shared" si="37"/>
        <v>58736.153099368421</v>
      </c>
      <c r="AT189" s="643"/>
      <c r="AU189" s="567"/>
      <c r="AV189" s="567"/>
      <c r="AW189" s="567"/>
      <c r="AX189" s="567">
        <f t="shared" si="36"/>
        <v>58736.153099368421</v>
      </c>
      <c r="AY189" s="660"/>
      <c r="AZ189" s="631"/>
      <c r="BA189" s="490"/>
      <c r="BE189" s="480">
        <v>2793.7946993684213</v>
      </c>
      <c r="BF189" s="570">
        <f t="shared" si="34"/>
        <v>0</v>
      </c>
    </row>
    <row r="190" spans="1:58" s="645" customFormat="1" ht="15" x14ac:dyDescent="0.25">
      <c r="A190" s="681" t="s">
        <v>395</v>
      </c>
      <c r="B190" s="644"/>
      <c r="C190" s="662" t="s">
        <v>396</v>
      </c>
      <c r="D190" s="635">
        <v>440893</v>
      </c>
      <c r="E190" s="663"/>
      <c r="F190" s="664"/>
      <c r="G190" s="551">
        <v>7668</v>
      </c>
      <c r="H190" s="551">
        <v>4770</v>
      </c>
      <c r="I190" s="551">
        <v>5940</v>
      </c>
      <c r="J190" s="649">
        <f t="shared" si="35"/>
        <v>18378</v>
      </c>
      <c r="K190" s="668"/>
      <c r="L190" s="669">
        <f t="shared" si="14"/>
        <v>18378</v>
      </c>
      <c r="M190" s="668" t="s">
        <v>251</v>
      </c>
      <c r="N190" s="553">
        <v>3.6804985850845933</v>
      </c>
      <c r="O190" s="670">
        <f t="shared" si="15"/>
        <v>67640</v>
      </c>
      <c r="P190" s="640"/>
      <c r="Q190" s="653">
        <v>19044</v>
      </c>
      <c r="R190" s="653">
        <v>12600</v>
      </c>
      <c r="S190" s="653">
        <v>17572.88842105263</v>
      </c>
      <c r="T190" s="650">
        <v>0.2036</v>
      </c>
      <c r="U190" s="652">
        <f t="shared" ref="U190:U216" si="38">SUM(Q190+R190+S190)*T190</f>
        <v>10020.558482526316</v>
      </c>
      <c r="V190" s="640"/>
      <c r="W190" s="653">
        <v>540</v>
      </c>
      <c r="X190" s="653">
        <v>210</v>
      </c>
      <c r="Y190" s="653">
        <v>540</v>
      </c>
      <c r="Z190" s="650">
        <v>1.7611399999999999</v>
      </c>
      <c r="AA190" s="654">
        <f t="shared" ref="AA190:AA216" si="39">SUM(W190+X190+Y190)*Z190</f>
        <v>2271.8705999999997</v>
      </c>
      <c r="AB190" s="635"/>
      <c r="AC190" s="671"/>
      <c r="AD190" s="642"/>
      <c r="AE190" s="671"/>
      <c r="AF190" s="642"/>
      <c r="AG190" s="671"/>
      <c r="AH190" s="635"/>
      <c r="AI190" s="672"/>
      <c r="AJ190" s="673"/>
      <c r="AK190" s="658">
        <f t="shared" si="16"/>
        <v>0</v>
      </c>
      <c r="AL190" s="635"/>
      <c r="AM190" s="653">
        <v>2088</v>
      </c>
      <c r="AN190" s="653">
        <v>1890</v>
      </c>
      <c r="AO190" s="653">
        <v>2088</v>
      </c>
      <c r="AP190" s="650">
        <v>0.2036</v>
      </c>
      <c r="AQ190" s="652">
        <f t="shared" ref="AQ190:AQ216" si="40">SUM(AM190+AN190+AO190)*AP190</f>
        <v>1235.0376000000001</v>
      </c>
      <c r="AR190" s="635"/>
      <c r="AS190" s="659">
        <f t="shared" si="37"/>
        <v>81167.466682526312</v>
      </c>
      <c r="AT190" s="643"/>
      <c r="AU190" s="567"/>
      <c r="AV190" s="567"/>
      <c r="AW190" s="567"/>
      <c r="AX190" s="567">
        <f t="shared" si="36"/>
        <v>81167.466682526312</v>
      </c>
      <c r="AY190" s="660"/>
      <c r="AZ190" s="631"/>
      <c r="BA190" s="490"/>
      <c r="BE190" s="480">
        <v>10020.558482526316</v>
      </c>
      <c r="BF190" s="570">
        <f t="shared" si="34"/>
        <v>0</v>
      </c>
    </row>
    <row r="191" spans="1:58" s="645" customFormat="1" ht="15" x14ac:dyDescent="0.25">
      <c r="A191" s="644" t="s">
        <v>397</v>
      </c>
      <c r="B191" s="644" t="s">
        <v>398</v>
      </c>
      <c r="C191" s="646">
        <v>113044</v>
      </c>
      <c r="D191" s="635">
        <v>113044</v>
      </c>
      <c r="E191" s="663"/>
      <c r="F191" s="664"/>
      <c r="G191" s="551">
        <v>1620</v>
      </c>
      <c r="H191" s="551">
        <v>1050</v>
      </c>
      <c r="I191" s="551">
        <v>1620</v>
      </c>
      <c r="J191" s="649">
        <f t="shared" si="35"/>
        <v>4290</v>
      </c>
      <c r="K191" s="668"/>
      <c r="L191" s="669">
        <f t="shared" si="14"/>
        <v>4290</v>
      </c>
      <c r="M191" s="668" t="s">
        <v>266</v>
      </c>
      <c r="N191" s="553">
        <v>3.6804985850845933</v>
      </c>
      <c r="O191" s="670">
        <f t="shared" si="15"/>
        <v>15789</v>
      </c>
      <c r="P191" s="640"/>
      <c r="Q191" s="653">
        <v>1980</v>
      </c>
      <c r="R191" s="653">
        <v>1260</v>
      </c>
      <c r="S191" s="653">
        <v>1558.8852631578948</v>
      </c>
      <c r="T191" s="650">
        <v>0.2036</v>
      </c>
      <c r="U191" s="652">
        <f t="shared" si="38"/>
        <v>977.05303957894739</v>
      </c>
      <c r="V191" s="640"/>
      <c r="W191" s="653">
        <v>0</v>
      </c>
      <c r="X191" s="653">
        <v>0</v>
      </c>
      <c r="Y191" s="653">
        <v>0</v>
      </c>
      <c r="Z191" s="650">
        <v>1.7611399999999999</v>
      </c>
      <c r="AA191" s="654">
        <f t="shared" si="39"/>
        <v>0</v>
      </c>
      <c r="AB191" s="635"/>
      <c r="AC191" s="671"/>
      <c r="AD191" s="642"/>
      <c r="AE191" s="671"/>
      <c r="AF191" s="642"/>
      <c r="AG191" s="671"/>
      <c r="AH191" s="635"/>
      <c r="AI191" s="672"/>
      <c r="AJ191" s="673"/>
      <c r="AK191" s="658">
        <f t="shared" si="16"/>
        <v>0</v>
      </c>
      <c r="AL191" s="635"/>
      <c r="AM191" s="653">
        <v>1080</v>
      </c>
      <c r="AN191" s="653">
        <v>630</v>
      </c>
      <c r="AO191" s="653">
        <v>1080</v>
      </c>
      <c r="AP191" s="650">
        <v>0.2036</v>
      </c>
      <c r="AQ191" s="652">
        <f t="shared" si="40"/>
        <v>568.04399999999998</v>
      </c>
      <c r="AR191" s="635"/>
      <c r="AS191" s="659">
        <f t="shared" si="37"/>
        <v>17334.097039578948</v>
      </c>
      <c r="AT191" s="643"/>
      <c r="AU191" s="567"/>
      <c r="AV191" s="567"/>
      <c r="AW191" s="567"/>
      <c r="AX191" s="567">
        <f t="shared" si="36"/>
        <v>17334.097039578948</v>
      </c>
      <c r="AY191" s="660"/>
      <c r="AZ191" s="631"/>
      <c r="BA191" s="490"/>
      <c r="BE191" s="480">
        <v>977.05303957894739</v>
      </c>
      <c r="BF191" s="570">
        <f t="shared" si="34"/>
        <v>0</v>
      </c>
    </row>
    <row r="192" spans="1:58" s="645" customFormat="1" ht="15" x14ac:dyDescent="0.25">
      <c r="A192" s="644" t="s">
        <v>399</v>
      </c>
      <c r="B192" s="644" t="s">
        <v>400</v>
      </c>
      <c r="C192" s="646" t="s">
        <v>401</v>
      </c>
      <c r="D192" s="635">
        <v>370254</v>
      </c>
      <c r="E192" s="663"/>
      <c r="F192" s="664"/>
      <c r="G192" s="551">
        <v>8088</v>
      </c>
      <c r="H192" s="551">
        <v>6510</v>
      </c>
      <c r="I192" s="551">
        <v>7728</v>
      </c>
      <c r="J192" s="649">
        <f t="shared" si="35"/>
        <v>22326</v>
      </c>
      <c r="K192" s="668"/>
      <c r="L192" s="669">
        <f t="shared" si="14"/>
        <v>22326</v>
      </c>
      <c r="M192" s="668" t="s">
        <v>251</v>
      </c>
      <c r="N192" s="553">
        <v>3.6804985850845933</v>
      </c>
      <c r="O192" s="670">
        <f t="shared" si="15"/>
        <v>82171</v>
      </c>
      <c r="P192" s="640"/>
      <c r="Q192" s="653">
        <v>7188</v>
      </c>
      <c r="R192" s="653">
        <v>6510</v>
      </c>
      <c r="S192" s="653">
        <v>5220.5785263157895</v>
      </c>
      <c r="T192" s="650">
        <v>0.2036</v>
      </c>
      <c r="U192" s="652">
        <f t="shared" si="38"/>
        <v>3851.8225879578945</v>
      </c>
      <c r="V192" s="640"/>
      <c r="W192" s="653">
        <v>180</v>
      </c>
      <c r="X192" s="653">
        <v>0</v>
      </c>
      <c r="Y192" s="653">
        <v>180</v>
      </c>
      <c r="Z192" s="650">
        <v>1.7611399999999999</v>
      </c>
      <c r="AA192" s="654">
        <f t="shared" si="39"/>
        <v>634.0104</v>
      </c>
      <c r="AB192" s="635"/>
      <c r="AC192" s="671"/>
      <c r="AD192" s="642"/>
      <c r="AE192" s="671"/>
      <c r="AF192" s="642"/>
      <c r="AG192" s="671"/>
      <c r="AH192" s="635"/>
      <c r="AI192" s="672"/>
      <c r="AJ192" s="673"/>
      <c r="AK192" s="658">
        <f t="shared" si="16"/>
        <v>0</v>
      </c>
      <c r="AL192" s="635"/>
      <c r="AM192" s="653">
        <v>0</v>
      </c>
      <c r="AN192" s="653">
        <v>210</v>
      </c>
      <c r="AO192" s="653">
        <v>0</v>
      </c>
      <c r="AP192" s="650">
        <v>0.2036</v>
      </c>
      <c r="AQ192" s="652">
        <f t="shared" si="40"/>
        <v>42.756</v>
      </c>
      <c r="AR192" s="635"/>
      <c r="AS192" s="659">
        <f t="shared" si="37"/>
        <v>86699.58898795789</v>
      </c>
      <c r="AT192" s="643"/>
      <c r="AU192" s="567"/>
      <c r="AV192" s="567"/>
      <c r="AW192" s="567"/>
      <c r="AX192" s="567">
        <f t="shared" si="36"/>
        <v>86699.58898795789</v>
      </c>
      <c r="AY192" s="660"/>
      <c r="AZ192" s="631"/>
      <c r="BA192" s="490"/>
      <c r="BE192" s="480">
        <v>3851.8225879578945</v>
      </c>
      <c r="BF192" s="570">
        <f t="shared" si="34"/>
        <v>0</v>
      </c>
    </row>
    <row r="193" spans="1:58" s="645" customFormat="1" ht="15" x14ac:dyDescent="0.25">
      <c r="A193" s="683" t="s">
        <v>881</v>
      </c>
      <c r="B193" s="683"/>
      <c r="C193" s="684" t="s">
        <v>882</v>
      </c>
      <c r="D193" s="635">
        <v>481412</v>
      </c>
      <c r="E193" s="663"/>
      <c r="F193" s="664"/>
      <c r="G193" s="551">
        <v>2340</v>
      </c>
      <c r="H193" s="551">
        <v>2310</v>
      </c>
      <c r="I193" s="551">
        <v>3960</v>
      </c>
      <c r="J193" s="649">
        <f t="shared" si="35"/>
        <v>8610</v>
      </c>
      <c r="K193" s="668"/>
      <c r="L193" s="669">
        <f t="shared" si="14"/>
        <v>8610</v>
      </c>
      <c r="M193" s="725" t="s">
        <v>266</v>
      </c>
      <c r="N193" s="553">
        <v>3.6804985850845933</v>
      </c>
      <c r="O193" s="670">
        <f t="shared" si="15"/>
        <v>31689</v>
      </c>
      <c r="P193" s="640"/>
      <c r="Q193" s="653">
        <v>0</v>
      </c>
      <c r="R193" s="653">
        <v>0</v>
      </c>
      <c r="S193" s="653">
        <v>0</v>
      </c>
      <c r="T193" s="650">
        <v>0.2036</v>
      </c>
      <c r="U193" s="652">
        <f t="shared" si="38"/>
        <v>0</v>
      </c>
      <c r="V193" s="640"/>
      <c r="W193" s="653">
        <v>0</v>
      </c>
      <c r="X193" s="653">
        <v>0</v>
      </c>
      <c r="Y193" s="653">
        <v>0</v>
      </c>
      <c r="Z193" s="650">
        <v>1.7611399999999999</v>
      </c>
      <c r="AA193" s="654">
        <f t="shared" si="39"/>
        <v>0</v>
      </c>
      <c r="AB193" s="635"/>
      <c r="AC193" s="671"/>
      <c r="AD193" s="642"/>
      <c r="AE193" s="671"/>
      <c r="AF193" s="642"/>
      <c r="AG193" s="671"/>
      <c r="AH193" s="635"/>
      <c r="AI193" s="672"/>
      <c r="AJ193" s="673"/>
      <c r="AK193" s="658">
        <f t="shared" si="16"/>
        <v>0</v>
      </c>
      <c r="AL193" s="635"/>
      <c r="AM193" s="653">
        <v>0</v>
      </c>
      <c r="AN193" s="653">
        <v>0</v>
      </c>
      <c r="AO193" s="653">
        <v>0</v>
      </c>
      <c r="AP193" s="650">
        <v>0.2036</v>
      </c>
      <c r="AQ193" s="652">
        <f t="shared" si="40"/>
        <v>0</v>
      </c>
      <c r="AR193" s="635"/>
      <c r="AS193" s="659">
        <f t="shared" si="37"/>
        <v>31689</v>
      </c>
      <c r="AT193" s="643"/>
      <c r="AU193" s="567"/>
      <c r="AV193" s="567"/>
      <c r="AW193" s="567"/>
      <c r="AX193" s="567">
        <f t="shared" si="36"/>
        <v>31689</v>
      </c>
      <c r="AY193" s="660"/>
      <c r="AZ193" s="631"/>
      <c r="BA193" s="490"/>
      <c r="BE193" s="480">
        <v>0</v>
      </c>
      <c r="BF193" s="570">
        <f t="shared" si="34"/>
        <v>0</v>
      </c>
    </row>
    <row r="194" spans="1:58" s="645" customFormat="1" ht="15" x14ac:dyDescent="0.25">
      <c r="A194" s="726" t="s">
        <v>883</v>
      </c>
      <c r="B194" s="489"/>
      <c r="C194" s="690" t="s">
        <v>884</v>
      </c>
      <c r="D194" s="635">
        <v>466991</v>
      </c>
      <c r="E194" s="663"/>
      <c r="F194" s="664"/>
      <c r="G194" s="551">
        <v>1260</v>
      </c>
      <c r="H194" s="551">
        <v>1260</v>
      </c>
      <c r="I194" s="551">
        <v>900</v>
      </c>
      <c r="J194" s="649">
        <f t="shared" si="35"/>
        <v>3420</v>
      </c>
      <c r="K194" s="668"/>
      <c r="L194" s="669">
        <f t="shared" si="14"/>
        <v>3420</v>
      </c>
      <c r="M194" s="725" t="s">
        <v>266</v>
      </c>
      <c r="N194" s="553">
        <v>3.6804985850845933</v>
      </c>
      <c r="O194" s="670">
        <f t="shared" si="15"/>
        <v>12587</v>
      </c>
      <c r="P194" s="640"/>
      <c r="Q194" s="653">
        <v>1440</v>
      </c>
      <c r="R194" s="653">
        <v>1260</v>
      </c>
      <c r="S194" s="653">
        <v>0</v>
      </c>
      <c r="T194" s="650">
        <v>0.2036</v>
      </c>
      <c r="U194" s="652">
        <f t="shared" si="38"/>
        <v>549.72</v>
      </c>
      <c r="V194" s="640"/>
      <c r="W194" s="653">
        <v>180</v>
      </c>
      <c r="X194" s="653">
        <v>0</v>
      </c>
      <c r="Y194" s="653">
        <v>180</v>
      </c>
      <c r="Z194" s="650">
        <v>1.7611399999999999</v>
      </c>
      <c r="AA194" s="654">
        <f t="shared" si="39"/>
        <v>634.0104</v>
      </c>
      <c r="AB194" s="635"/>
      <c r="AC194" s="671"/>
      <c r="AD194" s="642"/>
      <c r="AE194" s="671"/>
      <c r="AF194" s="642"/>
      <c r="AG194" s="671"/>
      <c r="AH194" s="635"/>
      <c r="AI194" s="672"/>
      <c r="AJ194" s="673"/>
      <c r="AK194" s="658">
        <f t="shared" si="16"/>
        <v>0</v>
      </c>
      <c r="AL194" s="635"/>
      <c r="AM194" s="653">
        <v>0</v>
      </c>
      <c r="AN194" s="653">
        <v>0</v>
      </c>
      <c r="AO194" s="653">
        <v>0</v>
      </c>
      <c r="AP194" s="650">
        <v>0.2036</v>
      </c>
      <c r="AQ194" s="652">
        <f t="shared" si="40"/>
        <v>0</v>
      </c>
      <c r="AR194" s="635"/>
      <c r="AS194" s="659">
        <f t="shared" si="37"/>
        <v>13770.7304</v>
      </c>
      <c r="AT194" s="643"/>
      <c r="AU194" s="567"/>
      <c r="AV194" s="567"/>
      <c r="AW194" s="567"/>
      <c r="AX194" s="567">
        <f t="shared" si="36"/>
        <v>13770.7304</v>
      </c>
      <c r="AY194" s="660"/>
      <c r="AZ194" s="631"/>
      <c r="BA194" s="490"/>
      <c r="BE194" s="480">
        <v>549.72</v>
      </c>
      <c r="BF194" s="570">
        <f t="shared" si="34"/>
        <v>0</v>
      </c>
    </row>
    <row r="195" spans="1:58" s="645" customFormat="1" ht="15" x14ac:dyDescent="0.25">
      <c r="A195" s="644" t="s">
        <v>402</v>
      </c>
      <c r="B195" s="644" t="s">
        <v>403</v>
      </c>
      <c r="C195" s="646" t="s">
        <v>404</v>
      </c>
      <c r="D195" s="635">
        <v>347673</v>
      </c>
      <c r="E195" s="663"/>
      <c r="F195" s="664"/>
      <c r="G195" s="551">
        <v>1800</v>
      </c>
      <c r="H195" s="551">
        <v>420</v>
      </c>
      <c r="I195" s="551">
        <v>900</v>
      </c>
      <c r="J195" s="649">
        <f t="shared" si="35"/>
        <v>3120</v>
      </c>
      <c r="K195" s="668"/>
      <c r="L195" s="669">
        <f t="shared" si="14"/>
        <v>3120</v>
      </c>
      <c r="M195" s="668" t="s">
        <v>266</v>
      </c>
      <c r="N195" s="553">
        <v>3.6804985850845933</v>
      </c>
      <c r="O195" s="670">
        <f t="shared" si="15"/>
        <v>11483</v>
      </c>
      <c r="P195" s="640"/>
      <c r="Q195" s="653">
        <v>4716</v>
      </c>
      <c r="R195" s="653">
        <v>1260</v>
      </c>
      <c r="S195" s="653">
        <v>2506.3635789473688</v>
      </c>
      <c r="T195" s="650">
        <v>0.2036</v>
      </c>
      <c r="U195" s="652">
        <f t="shared" si="38"/>
        <v>1727.0092246736842</v>
      </c>
      <c r="V195" s="640"/>
      <c r="W195" s="653">
        <v>0</v>
      </c>
      <c r="X195" s="653">
        <v>210</v>
      </c>
      <c r="Y195" s="653">
        <v>0</v>
      </c>
      <c r="Z195" s="650">
        <v>1.7611399999999999</v>
      </c>
      <c r="AA195" s="654">
        <f t="shared" si="39"/>
        <v>369.83940000000001</v>
      </c>
      <c r="AB195" s="635"/>
      <c r="AC195" s="671"/>
      <c r="AD195" s="642"/>
      <c r="AE195" s="671"/>
      <c r="AF195" s="642"/>
      <c r="AG195" s="671"/>
      <c r="AH195" s="635"/>
      <c r="AI195" s="672"/>
      <c r="AJ195" s="673"/>
      <c r="AK195" s="658">
        <f t="shared" si="16"/>
        <v>0</v>
      </c>
      <c r="AL195" s="635"/>
      <c r="AM195" s="653">
        <v>0</v>
      </c>
      <c r="AN195" s="653">
        <v>0</v>
      </c>
      <c r="AO195" s="653">
        <v>0</v>
      </c>
      <c r="AP195" s="650">
        <v>0.2036</v>
      </c>
      <c r="AQ195" s="652">
        <f t="shared" si="40"/>
        <v>0</v>
      </c>
      <c r="AR195" s="635"/>
      <c r="AS195" s="659">
        <f t="shared" si="37"/>
        <v>13579.848624673685</v>
      </c>
      <c r="AT195" s="643"/>
      <c r="AU195" s="567"/>
      <c r="AV195" s="567"/>
      <c r="AW195" s="567"/>
      <c r="AX195" s="567">
        <f t="shared" si="36"/>
        <v>13579.848624673685</v>
      </c>
      <c r="AY195" s="660"/>
      <c r="AZ195" s="631"/>
      <c r="BA195" s="490"/>
      <c r="BE195" s="480">
        <v>1727.0092246736842</v>
      </c>
      <c r="BF195" s="570">
        <f t="shared" si="34"/>
        <v>0</v>
      </c>
    </row>
    <row r="196" spans="1:58" s="645" customFormat="1" ht="15" x14ac:dyDescent="0.25">
      <c r="A196" s="644" t="s">
        <v>405</v>
      </c>
      <c r="B196" s="644" t="s">
        <v>406</v>
      </c>
      <c r="C196" s="646" t="s">
        <v>407</v>
      </c>
      <c r="D196" s="635">
        <v>282326</v>
      </c>
      <c r="E196" s="663"/>
      <c r="F196" s="664"/>
      <c r="G196" s="551">
        <v>8388</v>
      </c>
      <c r="H196" s="551">
        <v>5040</v>
      </c>
      <c r="I196" s="551">
        <v>5760</v>
      </c>
      <c r="J196" s="649">
        <f t="shared" si="35"/>
        <v>19188</v>
      </c>
      <c r="K196" s="668"/>
      <c r="L196" s="669">
        <f t="shared" si="14"/>
        <v>19188</v>
      </c>
      <c r="M196" s="668" t="s">
        <v>251</v>
      </c>
      <c r="N196" s="553">
        <v>3.6804985850845933</v>
      </c>
      <c r="O196" s="670">
        <f t="shared" si="15"/>
        <v>70621</v>
      </c>
      <c r="P196" s="640"/>
      <c r="Q196" s="653">
        <v>11412</v>
      </c>
      <c r="R196" s="653">
        <v>6720</v>
      </c>
      <c r="S196" s="653">
        <v>5597.8152631578951</v>
      </c>
      <c r="T196" s="650">
        <v>0.2036</v>
      </c>
      <c r="U196" s="652">
        <f t="shared" si="38"/>
        <v>4831.3903875789474</v>
      </c>
      <c r="V196" s="640"/>
      <c r="W196" s="653">
        <v>180</v>
      </c>
      <c r="X196" s="653">
        <v>210</v>
      </c>
      <c r="Y196" s="653">
        <v>180</v>
      </c>
      <c r="Z196" s="650">
        <v>1.7611399999999999</v>
      </c>
      <c r="AA196" s="654">
        <f t="shared" si="39"/>
        <v>1003.8498</v>
      </c>
      <c r="AB196" s="635"/>
      <c r="AC196" s="671"/>
      <c r="AD196" s="642"/>
      <c r="AE196" s="671"/>
      <c r="AF196" s="642"/>
      <c r="AG196" s="671"/>
      <c r="AH196" s="635"/>
      <c r="AI196" s="672"/>
      <c r="AJ196" s="673"/>
      <c r="AK196" s="658">
        <f t="shared" si="16"/>
        <v>0</v>
      </c>
      <c r="AL196" s="635"/>
      <c r="AM196" s="653">
        <v>180</v>
      </c>
      <c r="AN196" s="653">
        <v>0</v>
      </c>
      <c r="AO196" s="653">
        <v>180</v>
      </c>
      <c r="AP196" s="650">
        <v>0.2036</v>
      </c>
      <c r="AQ196" s="652">
        <f t="shared" si="40"/>
        <v>73.296000000000006</v>
      </c>
      <c r="AR196" s="635"/>
      <c r="AS196" s="659">
        <f t="shared" si="37"/>
        <v>76529.536187578953</v>
      </c>
      <c r="AT196" s="643"/>
      <c r="AU196" s="567"/>
      <c r="AV196" s="567"/>
      <c r="AW196" s="567"/>
      <c r="AX196" s="567">
        <f t="shared" si="36"/>
        <v>76529.536187578953</v>
      </c>
      <c r="AY196" s="660"/>
      <c r="AZ196" s="631"/>
      <c r="BA196" s="490"/>
      <c r="BE196" s="480">
        <v>4831.3903875789474</v>
      </c>
      <c r="BF196" s="570">
        <f t="shared" si="34"/>
        <v>0</v>
      </c>
    </row>
    <row r="197" spans="1:58" s="645" customFormat="1" ht="15" x14ac:dyDescent="0.25">
      <c r="A197" s="644" t="s">
        <v>408</v>
      </c>
      <c r="B197" s="644" t="s">
        <v>409</v>
      </c>
      <c r="C197" s="646" t="s">
        <v>410</v>
      </c>
      <c r="D197" s="635">
        <v>279508</v>
      </c>
      <c r="E197" s="663"/>
      <c r="F197" s="664"/>
      <c r="G197" s="551">
        <v>7884</v>
      </c>
      <c r="H197" s="551">
        <v>9030</v>
      </c>
      <c r="I197" s="551">
        <v>10494</v>
      </c>
      <c r="J197" s="649">
        <f t="shared" si="35"/>
        <v>27408</v>
      </c>
      <c r="K197" s="668"/>
      <c r="L197" s="669">
        <f t="shared" si="14"/>
        <v>27408</v>
      </c>
      <c r="M197" s="668" t="s">
        <v>251</v>
      </c>
      <c r="N197" s="553">
        <v>3.6804985850845933</v>
      </c>
      <c r="O197" s="670">
        <f t="shared" si="15"/>
        <v>100875</v>
      </c>
      <c r="P197" s="640"/>
      <c r="Q197" s="653">
        <v>14040</v>
      </c>
      <c r="R197" s="653">
        <v>10584</v>
      </c>
      <c r="S197" s="653">
        <v>16872.402315789474</v>
      </c>
      <c r="T197" s="650">
        <v>0.2036</v>
      </c>
      <c r="U197" s="652">
        <f t="shared" si="38"/>
        <v>8448.6675114947357</v>
      </c>
      <c r="V197" s="640"/>
      <c r="W197" s="653">
        <v>0</v>
      </c>
      <c r="X197" s="653">
        <v>0</v>
      </c>
      <c r="Y197" s="653">
        <v>0</v>
      </c>
      <c r="Z197" s="650">
        <v>1.7611399999999999</v>
      </c>
      <c r="AA197" s="654">
        <f t="shared" si="39"/>
        <v>0</v>
      </c>
      <c r="AB197" s="635"/>
      <c r="AC197" s="671"/>
      <c r="AD197" s="642"/>
      <c r="AE197" s="671"/>
      <c r="AF197" s="642"/>
      <c r="AG197" s="671"/>
      <c r="AH197" s="635"/>
      <c r="AI197" s="672"/>
      <c r="AJ197" s="673"/>
      <c r="AK197" s="658">
        <f t="shared" si="16"/>
        <v>0</v>
      </c>
      <c r="AL197" s="635"/>
      <c r="AM197" s="653">
        <v>0</v>
      </c>
      <c r="AN197" s="653">
        <v>0</v>
      </c>
      <c r="AO197" s="653">
        <v>0</v>
      </c>
      <c r="AP197" s="650">
        <v>0.2036</v>
      </c>
      <c r="AQ197" s="652">
        <f t="shared" si="40"/>
        <v>0</v>
      </c>
      <c r="AR197" s="635"/>
      <c r="AS197" s="659">
        <f t="shared" si="37"/>
        <v>109323.66751149474</v>
      </c>
      <c r="AT197" s="643"/>
      <c r="AU197" s="567"/>
      <c r="AV197" s="567"/>
      <c r="AW197" s="567"/>
      <c r="AX197" s="567">
        <f t="shared" si="36"/>
        <v>109323.66751149474</v>
      </c>
      <c r="AY197" s="660"/>
      <c r="AZ197" s="631"/>
      <c r="BA197" s="490"/>
      <c r="BE197" s="480">
        <v>8448.6675114947357</v>
      </c>
      <c r="BF197" s="570">
        <f t="shared" si="34"/>
        <v>0</v>
      </c>
    </row>
    <row r="198" spans="1:58" s="645" customFormat="1" ht="15" x14ac:dyDescent="0.25">
      <c r="A198" s="665" t="s">
        <v>411</v>
      </c>
      <c r="B198" s="675"/>
      <c r="C198" s="667" t="s">
        <v>412</v>
      </c>
      <c r="D198" s="635">
        <v>456892</v>
      </c>
      <c r="E198" s="663"/>
      <c r="F198" s="664"/>
      <c r="G198" s="551">
        <v>7236</v>
      </c>
      <c r="H198" s="551">
        <v>4860</v>
      </c>
      <c r="I198" s="551">
        <v>4860</v>
      </c>
      <c r="J198" s="649">
        <f t="shared" si="35"/>
        <v>16956</v>
      </c>
      <c r="K198" s="668"/>
      <c r="L198" s="669">
        <f t="shared" si="14"/>
        <v>16956</v>
      </c>
      <c r="M198" s="668" t="s">
        <v>251</v>
      </c>
      <c r="N198" s="553">
        <v>3.6804985850845933</v>
      </c>
      <c r="O198" s="670">
        <f t="shared" si="15"/>
        <v>62407</v>
      </c>
      <c r="P198" s="640"/>
      <c r="Q198" s="653">
        <v>9180</v>
      </c>
      <c r="R198" s="653">
        <v>3528</v>
      </c>
      <c r="S198" s="653">
        <v>6014.867684210526</v>
      </c>
      <c r="T198" s="650">
        <v>0.2036</v>
      </c>
      <c r="U198" s="652">
        <f t="shared" si="38"/>
        <v>3811.9758605052634</v>
      </c>
      <c r="V198" s="640"/>
      <c r="W198" s="653">
        <v>180</v>
      </c>
      <c r="X198" s="653">
        <v>0</v>
      </c>
      <c r="Y198" s="653">
        <v>180</v>
      </c>
      <c r="Z198" s="650">
        <v>1.7611399999999999</v>
      </c>
      <c r="AA198" s="654">
        <f t="shared" si="39"/>
        <v>634.0104</v>
      </c>
      <c r="AB198" s="635"/>
      <c r="AC198" s="671"/>
      <c r="AD198" s="642"/>
      <c r="AE198" s="671"/>
      <c r="AF198" s="642"/>
      <c r="AG198" s="671"/>
      <c r="AH198" s="635"/>
      <c r="AI198" s="672"/>
      <c r="AJ198" s="673"/>
      <c r="AK198" s="658">
        <f t="shared" si="16"/>
        <v>0</v>
      </c>
      <c r="AL198" s="635"/>
      <c r="AM198" s="653">
        <v>0</v>
      </c>
      <c r="AN198" s="653">
        <v>0</v>
      </c>
      <c r="AO198" s="653">
        <v>0</v>
      </c>
      <c r="AP198" s="650">
        <v>0.2036</v>
      </c>
      <c r="AQ198" s="652">
        <f t="shared" si="40"/>
        <v>0</v>
      </c>
      <c r="AR198" s="635"/>
      <c r="AS198" s="659">
        <f t="shared" si="37"/>
        <v>66852.986260505262</v>
      </c>
      <c r="AT198" s="643"/>
      <c r="AU198" s="567"/>
      <c r="AV198" s="567"/>
      <c r="AW198" s="567"/>
      <c r="AX198" s="567">
        <f t="shared" si="36"/>
        <v>66852.986260505262</v>
      </c>
      <c r="AY198" s="660"/>
      <c r="AZ198" s="631"/>
      <c r="BA198" s="490"/>
      <c r="BE198" s="480">
        <v>3811.9758605052634</v>
      </c>
      <c r="BF198" s="570">
        <f t="shared" si="34"/>
        <v>0</v>
      </c>
    </row>
    <row r="199" spans="1:58" s="645" customFormat="1" ht="15" x14ac:dyDescent="0.25">
      <c r="A199" s="644" t="s">
        <v>413</v>
      </c>
      <c r="B199" s="644" t="s">
        <v>414</v>
      </c>
      <c r="C199" s="646">
        <v>206152</v>
      </c>
      <c r="D199" s="635">
        <v>206152</v>
      </c>
      <c r="E199" s="663"/>
      <c r="F199" s="664"/>
      <c r="G199" s="551">
        <v>6708</v>
      </c>
      <c r="H199" s="551">
        <v>6510</v>
      </c>
      <c r="I199" s="551">
        <v>7200</v>
      </c>
      <c r="J199" s="649">
        <f t="shared" si="35"/>
        <v>20418</v>
      </c>
      <c r="K199" s="668"/>
      <c r="L199" s="669">
        <f t="shared" si="14"/>
        <v>20418</v>
      </c>
      <c r="M199" s="668" t="s">
        <v>266</v>
      </c>
      <c r="N199" s="553">
        <v>3.6804985850845933</v>
      </c>
      <c r="O199" s="670">
        <f t="shared" si="15"/>
        <v>75148</v>
      </c>
      <c r="P199" s="640"/>
      <c r="Q199" s="653">
        <v>4572</v>
      </c>
      <c r="R199" s="653">
        <v>4200</v>
      </c>
      <c r="S199" s="653">
        <v>6626.2746315789491</v>
      </c>
      <c r="T199" s="650">
        <v>0.2036</v>
      </c>
      <c r="U199" s="652">
        <f t="shared" si="38"/>
        <v>3135.0887149894738</v>
      </c>
      <c r="V199" s="640"/>
      <c r="W199" s="653">
        <v>0</v>
      </c>
      <c r="X199" s="653">
        <v>210</v>
      </c>
      <c r="Y199" s="653">
        <v>0</v>
      </c>
      <c r="Z199" s="650">
        <v>1.7611399999999999</v>
      </c>
      <c r="AA199" s="654">
        <f t="shared" si="39"/>
        <v>369.83940000000001</v>
      </c>
      <c r="AB199" s="635"/>
      <c r="AC199" s="671"/>
      <c r="AD199" s="642"/>
      <c r="AE199" s="671"/>
      <c r="AF199" s="642"/>
      <c r="AG199" s="671"/>
      <c r="AH199" s="635"/>
      <c r="AI199" s="672"/>
      <c r="AJ199" s="673"/>
      <c r="AK199" s="658">
        <f t="shared" si="16"/>
        <v>0</v>
      </c>
      <c r="AL199" s="635"/>
      <c r="AM199" s="653">
        <v>2304</v>
      </c>
      <c r="AN199" s="653">
        <v>1470</v>
      </c>
      <c r="AO199" s="653">
        <v>2304</v>
      </c>
      <c r="AP199" s="650">
        <v>0.2036</v>
      </c>
      <c r="AQ199" s="652">
        <f t="shared" si="40"/>
        <v>1237.4808</v>
      </c>
      <c r="AR199" s="635"/>
      <c r="AS199" s="659">
        <f t="shared" si="37"/>
        <v>79890.408914989472</v>
      </c>
      <c r="AT199" s="643"/>
      <c r="AU199" s="567"/>
      <c r="AV199" s="567"/>
      <c r="AW199" s="567"/>
      <c r="AX199" s="567">
        <f t="shared" si="36"/>
        <v>79890.408914989472</v>
      </c>
      <c r="AY199" s="660"/>
      <c r="AZ199" s="631"/>
      <c r="BA199" s="490"/>
      <c r="BE199" s="480">
        <v>3135.0887149894738</v>
      </c>
      <c r="BF199" s="570">
        <f t="shared" si="34"/>
        <v>0</v>
      </c>
    </row>
    <row r="200" spans="1:58" s="645" customFormat="1" ht="15" x14ac:dyDescent="0.25">
      <c r="A200" s="644" t="s">
        <v>415</v>
      </c>
      <c r="B200" s="644" t="s">
        <v>416</v>
      </c>
      <c r="C200" s="646">
        <v>206153</v>
      </c>
      <c r="D200" s="635">
        <v>206153</v>
      </c>
      <c r="E200" s="663"/>
      <c r="F200" s="664"/>
      <c r="G200" s="551">
        <v>3888</v>
      </c>
      <c r="H200" s="551">
        <v>3360</v>
      </c>
      <c r="I200" s="551">
        <v>3600</v>
      </c>
      <c r="J200" s="649">
        <f t="shared" si="35"/>
        <v>10848</v>
      </c>
      <c r="K200" s="668"/>
      <c r="L200" s="669">
        <f t="shared" si="14"/>
        <v>10848</v>
      </c>
      <c r="M200" s="668" t="s">
        <v>266</v>
      </c>
      <c r="N200" s="553">
        <v>3.6804985850845933</v>
      </c>
      <c r="O200" s="670">
        <f t="shared" si="15"/>
        <v>39926</v>
      </c>
      <c r="P200" s="640"/>
      <c r="Q200" s="653">
        <v>180</v>
      </c>
      <c r="R200" s="653">
        <v>1050</v>
      </c>
      <c r="S200" s="653">
        <v>265.212947368421</v>
      </c>
      <c r="T200" s="650">
        <v>0.2036</v>
      </c>
      <c r="U200" s="652">
        <f t="shared" si="38"/>
        <v>304.42535608421053</v>
      </c>
      <c r="V200" s="640"/>
      <c r="W200" s="653">
        <v>0</v>
      </c>
      <c r="X200" s="653">
        <v>0</v>
      </c>
      <c r="Y200" s="653">
        <v>0</v>
      </c>
      <c r="Z200" s="650">
        <v>1.7611399999999999</v>
      </c>
      <c r="AA200" s="654">
        <f t="shared" si="39"/>
        <v>0</v>
      </c>
      <c r="AB200" s="635"/>
      <c r="AC200" s="671"/>
      <c r="AD200" s="642"/>
      <c r="AE200" s="671"/>
      <c r="AF200" s="642"/>
      <c r="AG200" s="671"/>
      <c r="AH200" s="635"/>
      <c r="AI200" s="672"/>
      <c r="AJ200" s="673"/>
      <c r="AK200" s="658">
        <f t="shared" si="16"/>
        <v>0</v>
      </c>
      <c r="AL200" s="635"/>
      <c r="AM200" s="653">
        <v>180</v>
      </c>
      <c r="AN200" s="653">
        <v>0</v>
      </c>
      <c r="AO200" s="653">
        <v>180</v>
      </c>
      <c r="AP200" s="650">
        <v>0.2036</v>
      </c>
      <c r="AQ200" s="652">
        <f t="shared" si="40"/>
        <v>73.296000000000006</v>
      </c>
      <c r="AR200" s="635"/>
      <c r="AS200" s="659">
        <f t="shared" si="37"/>
        <v>40303.721356084214</v>
      </c>
      <c r="AT200" s="643"/>
      <c r="AU200" s="567"/>
      <c r="AV200" s="567"/>
      <c r="AW200" s="567"/>
      <c r="AX200" s="567">
        <f t="shared" si="36"/>
        <v>40303.721356084214</v>
      </c>
      <c r="AY200" s="660"/>
      <c r="AZ200" s="631"/>
      <c r="BA200" s="490"/>
      <c r="BE200" s="480">
        <v>304.42535608421053</v>
      </c>
      <c r="BF200" s="570">
        <f t="shared" ref="BF200:BF216" si="41">BE200-U200</f>
        <v>0</v>
      </c>
    </row>
    <row r="201" spans="1:58" s="645" customFormat="1" ht="15" x14ac:dyDescent="0.25">
      <c r="A201" s="730" t="s">
        <v>417</v>
      </c>
      <c r="B201" s="644" t="s">
        <v>418</v>
      </c>
      <c r="C201" s="646">
        <v>206154</v>
      </c>
      <c r="D201" s="635">
        <v>206154</v>
      </c>
      <c r="E201" s="663"/>
      <c r="F201" s="664"/>
      <c r="G201" s="551">
        <v>7236</v>
      </c>
      <c r="H201" s="551">
        <v>6020</v>
      </c>
      <c r="I201" s="551">
        <v>7200</v>
      </c>
      <c r="J201" s="649">
        <f t="shared" si="35"/>
        <v>20456</v>
      </c>
      <c r="K201" s="668"/>
      <c r="L201" s="669">
        <f t="shared" si="14"/>
        <v>20456</v>
      </c>
      <c r="M201" s="668" t="s">
        <v>266</v>
      </c>
      <c r="N201" s="553">
        <v>3.6804985850845933</v>
      </c>
      <c r="O201" s="670">
        <f t="shared" si="15"/>
        <v>75288</v>
      </c>
      <c r="P201" s="640"/>
      <c r="Q201" s="653">
        <v>16164</v>
      </c>
      <c r="R201" s="653">
        <v>11340</v>
      </c>
      <c r="S201" s="653">
        <v>14507.755578947366</v>
      </c>
      <c r="T201" s="650">
        <v>0.2036</v>
      </c>
      <c r="U201" s="652">
        <f t="shared" si="38"/>
        <v>8553.5934358736849</v>
      </c>
      <c r="V201" s="640"/>
      <c r="W201" s="653">
        <v>0</v>
      </c>
      <c r="X201" s="653">
        <v>0</v>
      </c>
      <c r="Y201" s="653">
        <v>0</v>
      </c>
      <c r="Z201" s="650">
        <v>1.7611399999999999</v>
      </c>
      <c r="AA201" s="654">
        <f t="shared" si="39"/>
        <v>0</v>
      </c>
      <c r="AB201" s="635"/>
      <c r="AC201" s="671"/>
      <c r="AD201" s="642"/>
      <c r="AE201" s="671"/>
      <c r="AF201" s="642"/>
      <c r="AG201" s="671"/>
      <c r="AH201" s="635"/>
      <c r="AI201" s="672"/>
      <c r="AJ201" s="673"/>
      <c r="AK201" s="658">
        <f t="shared" si="16"/>
        <v>0</v>
      </c>
      <c r="AL201" s="635"/>
      <c r="AM201" s="653">
        <v>4464</v>
      </c>
      <c r="AN201" s="653">
        <v>1680</v>
      </c>
      <c r="AO201" s="653">
        <v>4464</v>
      </c>
      <c r="AP201" s="650">
        <v>0.2036</v>
      </c>
      <c r="AQ201" s="652">
        <f t="shared" si="40"/>
        <v>2159.7887999999998</v>
      </c>
      <c r="AR201" s="635"/>
      <c r="AS201" s="659">
        <f t="shared" si="37"/>
        <v>86001.38223587368</v>
      </c>
      <c r="AT201" s="643"/>
      <c r="AU201" s="567"/>
      <c r="AV201" s="567"/>
      <c r="AW201" s="567"/>
      <c r="AX201" s="567">
        <f t="shared" si="36"/>
        <v>86001.38223587368</v>
      </c>
      <c r="AY201" s="660"/>
      <c r="AZ201" s="631"/>
      <c r="BA201" s="490"/>
      <c r="BE201" s="480">
        <v>8553.5934358736849</v>
      </c>
      <c r="BF201" s="570">
        <f t="shared" si="41"/>
        <v>0</v>
      </c>
    </row>
    <row r="202" spans="1:58" s="645" customFormat="1" ht="15" x14ac:dyDescent="0.25">
      <c r="A202" s="681" t="s">
        <v>419</v>
      </c>
      <c r="B202" s="644"/>
      <c r="C202" s="662" t="s">
        <v>420</v>
      </c>
      <c r="D202" s="635">
        <v>395637</v>
      </c>
      <c r="E202" s="663"/>
      <c r="F202" s="664"/>
      <c r="G202" s="551">
        <v>2232</v>
      </c>
      <c r="H202" s="551">
        <v>1806</v>
      </c>
      <c r="I202" s="551">
        <v>1404</v>
      </c>
      <c r="J202" s="649">
        <f t="shared" si="35"/>
        <v>5442</v>
      </c>
      <c r="K202" s="668"/>
      <c r="L202" s="669">
        <f t="shared" si="14"/>
        <v>5442</v>
      </c>
      <c r="M202" s="668" t="s">
        <v>266</v>
      </c>
      <c r="N202" s="553">
        <v>3.6804985850845933</v>
      </c>
      <c r="O202" s="670">
        <f t="shared" si="15"/>
        <v>20029</v>
      </c>
      <c r="P202" s="640"/>
      <c r="Q202" s="653">
        <v>2268</v>
      </c>
      <c r="R202" s="653">
        <v>1890</v>
      </c>
      <c r="S202" s="653">
        <v>1801.8284210526317</v>
      </c>
      <c r="T202" s="650">
        <v>0.2036</v>
      </c>
      <c r="U202" s="652">
        <f t="shared" si="38"/>
        <v>1213.4210665263158</v>
      </c>
      <c r="V202" s="640"/>
      <c r="W202" s="653">
        <v>0</v>
      </c>
      <c r="X202" s="653">
        <v>0</v>
      </c>
      <c r="Y202" s="653">
        <v>0</v>
      </c>
      <c r="Z202" s="650">
        <v>1.7611399999999999</v>
      </c>
      <c r="AA202" s="654">
        <f t="shared" si="39"/>
        <v>0</v>
      </c>
      <c r="AB202" s="635"/>
      <c r="AC202" s="671"/>
      <c r="AD202" s="642"/>
      <c r="AE202" s="671"/>
      <c r="AF202" s="642"/>
      <c r="AG202" s="671"/>
      <c r="AH202" s="635"/>
      <c r="AI202" s="672"/>
      <c r="AJ202" s="673"/>
      <c r="AK202" s="658">
        <f t="shared" si="16"/>
        <v>0</v>
      </c>
      <c r="AL202" s="635"/>
      <c r="AM202" s="653">
        <v>360</v>
      </c>
      <c r="AN202" s="653">
        <v>210</v>
      </c>
      <c r="AO202" s="653">
        <v>360</v>
      </c>
      <c r="AP202" s="650">
        <v>0.2036</v>
      </c>
      <c r="AQ202" s="652">
        <f t="shared" si="40"/>
        <v>189.34800000000001</v>
      </c>
      <c r="AR202" s="635"/>
      <c r="AS202" s="659">
        <f t="shared" si="37"/>
        <v>21431.769066526314</v>
      </c>
      <c r="AT202" s="643"/>
      <c r="AU202" s="567"/>
      <c r="AV202" s="567"/>
      <c r="AW202" s="567"/>
      <c r="AX202" s="567">
        <f t="shared" si="36"/>
        <v>21431.769066526314</v>
      </c>
      <c r="AY202" s="660"/>
      <c r="AZ202" s="631"/>
      <c r="BA202" s="490"/>
      <c r="BE202" s="480">
        <v>1213.4210665263158</v>
      </c>
      <c r="BF202" s="570">
        <f t="shared" si="41"/>
        <v>0</v>
      </c>
    </row>
    <row r="203" spans="1:58" s="645" customFormat="1" ht="15" x14ac:dyDescent="0.25">
      <c r="A203" s="644" t="s">
        <v>421</v>
      </c>
      <c r="B203" s="644" t="s">
        <v>422</v>
      </c>
      <c r="C203" s="646" t="s">
        <v>423</v>
      </c>
      <c r="D203" s="635">
        <v>330097</v>
      </c>
      <c r="E203" s="663"/>
      <c r="F203" s="664"/>
      <c r="G203" s="551">
        <v>10620</v>
      </c>
      <c r="H203" s="551">
        <v>7350</v>
      </c>
      <c r="I203" s="551">
        <v>9360</v>
      </c>
      <c r="J203" s="649">
        <f t="shared" si="35"/>
        <v>27330</v>
      </c>
      <c r="K203" s="668"/>
      <c r="L203" s="669">
        <f t="shared" si="14"/>
        <v>27330</v>
      </c>
      <c r="M203" s="668" t="s">
        <v>251</v>
      </c>
      <c r="N203" s="553">
        <v>3.6804985850845933</v>
      </c>
      <c r="O203" s="670">
        <f t="shared" si="15"/>
        <v>100588</v>
      </c>
      <c r="P203" s="640"/>
      <c r="Q203" s="653">
        <v>22824</v>
      </c>
      <c r="R203" s="653">
        <v>14490</v>
      </c>
      <c r="S203" s="653">
        <v>15218.364315789475</v>
      </c>
      <c r="T203" s="650">
        <v>0.2036</v>
      </c>
      <c r="U203" s="652">
        <f t="shared" si="38"/>
        <v>10695.589374694737</v>
      </c>
      <c r="V203" s="640"/>
      <c r="W203" s="653">
        <v>540</v>
      </c>
      <c r="X203" s="653">
        <v>0</v>
      </c>
      <c r="Y203" s="653">
        <v>540</v>
      </c>
      <c r="Z203" s="650">
        <v>1.7611399999999999</v>
      </c>
      <c r="AA203" s="654">
        <f t="shared" si="39"/>
        <v>1902.0311999999999</v>
      </c>
      <c r="AB203" s="635"/>
      <c r="AC203" s="671"/>
      <c r="AD203" s="642"/>
      <c r="AE203" s="671"/>
      <c r="AF203" s="642"/>
      <c r="AG203" s="671"/>
      <c r="AH203" s="635"/>
      <c r="AI203" s="672"/>
      <c r="AJ203" s="673"/>
      <c r="AK203" s="658">
        <f t="shared" si="16"/>
        <v>0</v>
      </c>
      <c r="AL203" s="635"/>
      <c r="AM203" s="653">
        <v>900</v>
      </c>
      <c r="AN203" s="653">
        <v>210</v>
      </c>
      <c r="AO203" s="653">
        <v>900</v>
      </c>
      <c r="AP203" s="650">
        <v>0.2036</v>
      </c>
      <c r="AQ203" s="652">
        <f t="shared" si="40"/>
        <v>409.23599999999999</v>
      </c>
      <c r="AR203" s="635"/>
      <c r="AS203" s="659">
        <f t="shared" si="37"/>
        <v>113594.85657469474</v>
      </c>
      <c r="AT203" s="643"/>
      <c r="AU203" s="567"/>
      <c r="AV203" s="567"/>
      <c r="AW203" s="567"/>
      <c r="AX203" s="567">
        <f t="shared" si="36"/>
        <v>113594.85657469474</v>
      </c>
      <c r="AY203" s="660"/>
      <c r="AZ203" s="631"/>
      <c r="BA203" s="490"/>
      <c r="BE203" s="480">
        <v>10695.589374694737</v>
      </c>
      <c r="BF203" s="570">
        <f t="shared" si="41"/>
        <v>0</v>
      </c>
    </row>
    <row r="204" spans="1:58" s="645" customFormat="1" ht="15" x14ac:dyDescent="0.25">
      <c r="A204" s="644" t="s">
        <v>424</v>
      </c>
      <c r="B204" s="644" t="s">
        <v>425</v>
      </c>
      <c r="C204" s="646" t="s">
        <v>426</v>
      </c>
      <c r="D204" s="635">
        <v>100960</v>
      </c>
      <c r="E204" s="663"/>
      <c r="F204" s="664"/>
      <c r="G204" s="551">
        <v>5520</v>
      </c>
      <c r="H204" s="551">
        <v>4242</v>
      </c>
      <c r="I204" s="551">
        <v>4644</v>
      </c>
      <c r="J204" s="649">
        <f t="shared" si="35"/>
        <v>14406</v>
      </c>
      <c r="K204" s="668"/>
      <c r="L204" s="669">
        <f t="shared" si="14"/>
        <v>14406</v>
      </c>
      <c r="M204" s="668" t="s">
        <v>251</v>
      </c>
      <c r="N204" s="553">
        <v>3.6804985850845933</v>
      </c>
      <c r="O204" s="670">
        <f t="shared" si="15"/>
        <v>53021</v>
      </c>
      <c r="P204" s="640"/>
      <c r="Q204" s="653">
        <v>72</v>
      </c>
      <c r="R204" s="653">
        <v>0</v>
      </c>
      <c r="S204" s="653">
        <v>125.52063157894736</v>
      </c>
      <c r="T204" s="650">
        <v>0.2036</v>
      </c>
      <c r="U204" s="652">
        <f t="shared" si="38"/>
        <v>40.215200589473682</v>
      </c>
      <c r="V204" s="640"/>
      <c r="W204" s="653">
        <v>0</v>
      </c>
      <c r="X204" s="653">
        <v>0</v>
      </c>
      <c r="Y204" s="653">
        <v>0</v>
      </c>
      <c r="Z204" s="650">
        <v>1.7611399999999999</v>
      </c>
      <c r="AA204" s="654">
        <f t="shared" si="39"/>
        <v>0</v>
      </c>
      <c r="AB204" s="635"/>
      <c r="AC204" s="671"/>
      <c r="AD204" s="642"/>
      <c r="AE204" s="671"/>
      <c r="AF204" s="642"/>
      <c r="AG204" s="671"/>
      <c r="AH204" s="635"/>
      <c r="AI204" s="672"/>
      <c r="AJ204" s="673"/>
      <c r="AK204" s="658">
        <f t="shared" si="16"/>
        <v>0</v>
      </c>
      <c r="AL204" s="635"/>
      <c r="AM204" s="653">
        <v>0</v>
      </c>
      <c r="AN204" s="653">
        <v>0</v>
      </c>
      <c r="AO204" s="653">
        <v>0</v>
      </c>
      <c r="AP204" s="650">
        <v>0.2036</v>
      </c>
      <c r="AQ204" s="652">
        <f t="shared" si="40"/>
        <v>0</v>
      </c>
      <c r="AR204" s="635"/>
      <c r="AS204" s="659">
        <f t="shared" si="37"/>
        <v>53061.215200589475</v>
      </c>
      <c r="AT204" s="643"/>
      <c r="AU204" s="567"/>
      <c r="AV204" s="567"/>
      <c r="AW204" s="567"/>
      <c r="AX204" s="567">
        <f t="shared" si="36"/>
        <v>53061.215200589475</v>
      </c>
      <c r="AY204" s="660"/>
      <c r="AZ204" s="631"/>
      <c r="BA204" s="490"/>
      <c r="BE204" s="480">
        <v>40.215200589473682</v>
      </c>
      <c r="BF204" s="570">
        <f t="shared" si="41"/>
        <v>0</v>
      </c>
    </row>
    <row r="205" spans="1:58" s="645" customFormat="1" ht="15" x14ac:dyDescent="0.25">
      <c r="A205" s="644" t="s">
        <v>427</v>
      </c>
      <c r="B205" s="644" t="s">
        <v>425</v>
      </c>
      <c r="C205" s="646">
        <v>206103</v>
      </c>
      <c r="D205" s="635">
        <v>206103</v>
      </c>
      <c r="E205" s="663"/>
      <c r="F205" s="664"/>
      <c r="G205" s="551">
        <v>7137</v>
      </c>
      <c r="H205" s="551">
        <v>5544</v>
      </c>
      <c r="I205" s="551">
        <v>6336</v>
      </c>
      <c r="J205" s="649">
        <f t="shared" si="35"/>
        <v>19017</v>
      </c>
      <c r="K205" s="668"/>
      <c r="L205" s="669">
        <f t="shared" si="14"/>
        <v>19017</v>
      </c>
      <c r="M205" s="668" t="s">
        <v>251</v>
      </c>
      <c r="N205" s="553">
        <v>3.6804985850845933</v>
      </c>
      <c r="O205" s="670">
        <f t="shared" si="15"/>
        <v>69992</v>
      </c>
      <c r="P205" s="640"/>
      <c r="Q205" s="653">
        <v>5868</v>
      </c>
      <c r="R205" s="653">
        <v>5250</v>
      </c>
      <c r="S205" s="653">
        <v>4172.5487368421054</v>
      </c>
      <c r="T205" s="650">
        <v>0.2036</v>
      </c>
      <c r="U205" s="652">
        <f t="shared" si="38"/>
        <v>3113.1557228210527</v>
      </c>
      <c r="V205" s="640"/>
      <c r="W205" s="653">
        <v>180</v>
      </c>
      <c r="X205" s="653">
        <v>210</v>
      </c>
      <c r="Y205" s="653">
        <v>180</v>
      </c>
      <c r="Z205" s="650">
        <v>1.7611399999999999</v>
      </c>
      <c r="AA205" s="654">
        <f t="shared" si="39"/>
        <v>1003.8498</v>
      </c>
      <c r="AB205" s="635"/>
      <c r="AC205" s="671"/>
      <c r="AD205" s="642"/>
      <c r="AE205" s="671"/>
      <c r="AF205" s="642"/>
      <c r="AG205" s="671"/>
      <c r="AH205" s="635"/>
      <c r="AI205" s="672"/>
      <c r="AJ205" s="673"/>
      <c r="AK205" s="658">
        <f t="shared" si="16"/>
        <v>0</v>
      </c>
      <c r="AL205" s="635"/>
      <c r="AM205" s="653">
        <v>972</v>
      </c>
      <c r="AN205" s="653">
        <v>546</v>
      </c>
      <c r="AO205" s="653">
        <v>972</v>
      </c>
      <c r="AP205" s="650">
        <v>0.2036</v>
      </c>
      <c r="AQ205" s="652">
        <f t="shared" si="40"/>
        <v>506.964</v>
      </c>
      <c r="AR205" s="635"/>
      <c r="AS205" s="659">
        <f t="shared" si="37"/>
        <v>74615.969522821048</v>
      </c>
      <c r="AT205" s="643"/>
      <c r="AU205" s="567"/>
      <c r="AV205" s="567"/>
      <c r="AW205" s="567"/>
      <c r="AX205" s="567">
        <f t="shared" si="36"/>
        <v>74615.969522821048</v>
      </c>
      <c r="AY205" s="660"/>
      <c r="AZ205" s="631"/>
      <c r="BA205" s="490"/>
      <c r="BE205" s="480">
        <v>3113.1557228210527</v>
      </c>
      <c r="BF205" s="570">
        <f t="shared" si="41"/>
        <v>0</v>
      </c>
    </row>
    <row r="206" spans="1:58" s="645" customFormat="1" ht="15" x14ac:dyDescent="0.25">
      <c r="A206" s="731" t="s">
        <v>885</v>
      </c>
      <c r="B206" s="732" t="s">
        <v>886</v>
      </c>
      <c r="C206" s="584" t="s">
        <v>887</v>
      </c>
      <c r="D206" s="635" t="s">
        <v>887</v>
      </c>
      <c r="E206" s="663"/>
      <c r="F206" s="664"/>
      <c r="G206" s="551">
        <v>0</v>
      </c>
      <c r="H206" s="551">
        <v>0</v>
      </c>
      <c r="I206" s="551">
        <v>0</v>
      </c>
      <c r="J206" s="649">
        <f t="shared" si="35"/>
        <v>0</v>
      </c>
      <c r="K206" s="668"/>
      <c r="L206" s="669">
        <f t="shared" si="14"/>
        <v>0</v>
      </c>
      <c r="M206" s="668" t="s">
        <v>251</v>
      </c>
      <c r="N206" s="553">
        <v>3.6804985850845933</v>
      </c>
      <c r="O206" s="670">
        <f t="shared" si="15"/>
        <v>0</v>
      </c>
      <c r="P206" s="640"/>
      <c r="Q206" s="653">
        <v>0</v>
      </c>
      <c r="R206" s="653">
        <v>0</v>
      </c>
      <c r="S206" s="653">
        <v>0</v>
      </c>
      <c r="T206" s="650">
        <v>0.2036</v>
      </c>
      <c r="U206" s="652">
        <f t="shared" si="38"/>
        <v>0</v>
      </c>
      <c r="V206" s="640"/>
      <c r="W206" s="653">
        <v>0</v>
      </c>
      <c r="X206" s="653">
        <v>0</v>
      </c>
      <c r="Y206" s="653">
        <v>0</v>
      </c>
      <c r="Z206" s="650">
        <v>1.7611399999999999</v>
      </c>
      <c r="AA206" s="654">
        <f t="shared" si="39"/>
        <v>0</v>
      </c>
      <c r="AB206" s="635"/>
      <c r="AC206" s="671"/>
      <c r="AD206" s="642"/>
      <c r="AE206" s="671"/>
      <c r="AF206" s="642"/>
      <c r="AG206" s="671"/>
      <c r="AH206" s="635"/>
      <c r="AI206" s="672"/>
      <c r="AJ206" s="673"/>
      <c r="AK206" s="658">
        <f t="shared" si="16"/>
        <v>0</v>
      </c>
      <c r="AL206" s="635"/>
      <c r="AM206" s="653">
        <v>0</v>
      </c>
      <c r="AN206" s="653">
        <v>0</v>
      </c>
      <c r="AO206" s="653">
        <v>0</v>
      </c>
      <c r="AP206" s="650">
        <v>0.2036</v>
      </c>
      <c r="AQ206" s="652">
        <f t="shared" si="40"/>
        <v>0</v>
      </c>
      <c r="AR206" s="635"/>
      <c r="AS206" s="659">
        <f t="shared" si="37"/>
        <v>0</v>
      </c>
      <c r="AT206" s="643"/>
      <c r="AU206" s="567"/>
      <c r="AV206" s="567"/>
      <c r="AW206" s="567"/>
      <c r="AX206" s="567">
        <f t="shared" si="36"/>
        <v>0</v>
      </c>
      <c r="AY206" s="660"/>
      <c r="AZ206" s="631"/>
      <c r="BA206" s="490"/>
      <c r="BE206" s="480">
        <v>0</v>
      </c>
      <c r="BF206" s="570">
        <f t="shared" si="41"/>
        <v>0</v>
      </c>
    </row>
    <row r="207" spans="1:58" s="645" customFormat="1" ht="15" x14ac:dyDescent="0.25">
      <c r="A207" s="644" t="s">
        <v>428</v>
      </c>
      <c r="B207" s="644" t="s">
        <v>429</v>
      </c>
      <c r="C207" s="646" t="s">
        <v>430</v>
      </c>
      <c r="D207" s="635">
        <v>359739</v>
      </c>
      <c r="E207" s="733" t="s">
        <v>866</v>
      </c>
      <c r="F207" s="664"/>
      <c r="G207" s="551">
        <v>0</v>
      </c>
      <c r="H207" s="551">
        <v>0</v>
      </c>
      <c r="I207" s="551">
        <v>0</v>
      </c>
      <c r="J207" s="649">
        <f t="shared" si="35"/>
        <v>0</v>
      </c>
      <c r="K207" s="668"/>
      <c r="L207" s="669">
        <f t="shared" si="14"/>
        <v>0</v>
      </c>
      <c r="M207" s="668" t="s">
        <v>251</v>
      </c>
      <c r="N207" s="553">
        <v>3.6804985850845933</v>
      </c>
      <c r="O207" s="670">
        <f t="shared" si="15"/>
        <v>0</v>
      </c>
      <c r="P207" s="640"/>
      <c r="Q207" s="653">
        <v>0</v>
      </c>
      <c r="R207" s="653">
        <v>0</v>
      </c>
      <c r="S207" s="653">
        <v>0</v>
      </c>
      <c r="T207" s="650">
        <v>0.2036</v>
      </c>
      <c r="U207" s="652">
        <f t="shared" si="38"/>
        <v>0</v>
      </c>
      <c r="V207" s="640"/>
      <c r="W207" s="653">
        <v>0</v>
      </c>
      <c r="X207" s="653">
        <v>0</v>
      </c>
      <c r="Y207" s="653">
        <v>0</v>
      </c>
      <c r="Z207" s="650">
        <v>1.7611399999999999</v>
      </c>
      <c r="AA207" s="654">
        <f t="shared" si="39"/>
        <v>0</v>
      </c>
      <c r="AB207" s="635"/>
      <c r="AC207" s="671"/>
      <c r="AD207" s="642"/>
      <c r="AE207" s="671"/>
      <c r="AF207" s="642"/>
      <c r="AG207" s="671"/>
      <c r="AH207" s="635"/>
      <c r="AI207" s="672"/>
      <c r="AJ207" s="673"/>
      <c r="AK207" s="658">
        <f t="shared" si="16"/>
        <v>0</v>
      </c>
      <c r="AL207" s="635"/>
      <c r="AM207" s="653">
        <v>0</v>
      </c>
      <c r="AN207" s="653">
        <v>0</v>
      </c>
      <c r="AO207" s="653">
        <v>0</v>
      </c>
      <c r="AP207" s="650">
        <v>0.2036</v>
      </c>
      <c r="AQ207" s="652">
        <f t="shared" si="40"/>
        <v>0</v>
      </c>
      <c r="AR207" s="635"/>
      <c r="AS207" s="659">
        <f t="shared" si="37"/>
        <v>0</v>
      </c>
      <c r="AT207" s="643"/>
      <c r="AU207" s="567"/>
      <c r="AV207" s="567"/>
      <c r="AW207" s="567"/>
      <c r="AX207" s="567">
        <f t="shared" si="36"/>
        <v>0</v>
      </c>
      <c r="AY207" s="660" t="s">
        <v>888</v>
      </c>
      <c r="BA207" s="490"/>
      <c r="BE207" s="480">
        <v>0</v>
      </c>
      <c r="BF207" s="570">
        <f t="shared" si="41"/>
        <v>0</v>
      </c>
    </row>
    <row r="208" spans="1:58" s="645" customFormat="1" ht="15" x14ac:dyDescent="0.25">
      <c r="A208" s="644" t="s">
        <v>431</v>
      </c>
      <c r="B208" s="644" t="s">
        <v>432</v>
      </c>
      <c r="C208" s="646" t="s">
        <v>433</v>
      </c>
      <c r="D208" s="635">
        <v>103452</v>
      </c>
      <c r="E208" s="663"/>
      <c r="F208" s="664"/>
      <c r="G208" s="551">
        <v>8280</v>
      </c>
      <c r="H208" s="551">
        <v>5940</v>
      </c>
      <c r="I208" s="551">
        <v>6120</v>
      </c>
      <c r="J208" s="649">
        <f t="shared" si="35"/>
        <v>20340</v>
      </c>
      <c r="K208" s="668"/>
      <c r="L208" s="669">
        <f t="shared" si="14"/>
        <v>20340</v>
      </c>
      <c r="M208" s="668" t="s">
        <v>251</v>
      </c>
      <c r="N208" s="553">
        <v>3.6804985850845933</v>
      </c>
      <c r="O208" s="670">
        <f t="shared" si="15"/>
        <v>74861</v>
      </c>
      <c r="P208" s="640"/>
      <c r="Q208" s="653">
        <v>16740</v>
      </c>
      <c r="R208" s="653">
        <v>15540</v>
      </c>
      <c r="S208" s="653">
        <v>12886.11</v>
      </c>
      <c r="T208" s="650">
        <v>0.2036</v>
      </c>
      <c r="U208" s="652">
        <f t="shared" si="38"/>
        <v>9195.8199960000002</v>
      </c>
      <c r="V208" s="640"/>
      <c r="W208" s="653">
        <v>180</v>
      </c>
      <c r="X208" s="653">
        <v>420</v>
      </c>
      <c r="Y208" s="653">
        <v>180</v>
      </c>
      <c r="Z208" s="650">
        <v>1.7611399999999999</v>
      </c>
      <c r="AA208" s="654">
        <f>SUM(W208+X208+Y208)*Z208</f>
        <v>1373.6892</v>
      </c>
      <c r="AB208" s="635"/>
      <c r="AC208" s="671"/>
      <c r="AD208" s="642"/>
      <c r="AE208" s="671"/>
      <c r="AF208" s="642"/>
      <c r="AG208" s="671"/>
      <c r="AH208" s="635"/>
      <c r="AI208" s="672"/>
      <c r="AJ208" s="673"/>
      <c r="AK208" s="658">
        <f t="shared" si="16"/>
        <v>0</v>
      </c>
      <c r="AL208" s="635"/>
      <c r="AM208" s="653">
        <v>360</v>
      </c>
      <c r="AN208" s="653">
        <v>0</v>
      </c>
      <c r="AO208" s="653">
        <v>360</v>
      </c>
      <c r="AP208" s="650">
        <v>0.2036</v>
      </c>
      <c r="AQ208" s="652">
        <f t="shared" si="40"/>
        <v>146.59200000000001</v>
      </c>
      <c r="AR208" s="635"/>
      <c r="AS208" s="659">
        <f t="shared" si="37"/>
        <v>85577.101196000003</v>
      </c>
      <c r="AT208" s="643"/>
      <c r="AU208" s="567"/>
      <c r="AV208" s="567"/>
      <c r="AW208" s="567"/>
      <c r="AX208" s="567">
        <f t="shared" si="36"/>
        <v>85577.101196000003</v>
      </c>
      <c r="AY208" s="660"/>
      <c r="AZ208" s="631"/>
      <c r="BA208" s="490"/>
      <c r="BE208" s="480">
        <v>9195.8199960000002</v>
      </c>
      <c r="BF208" s="570">
        <f t="shared" si="41"/>
        <v>0</v>
      </c>
    </row>
    <row r="209" spans="1:58" s="645" customFormat="1" ht="15" x14ac:dyDescent="0.25">
      <c r="A209" s="644" t="s">
        <v>434</v>
      </c>
      <c r="B209" s="644" t="s">
        <v>435</v>
      </c>
      <c r="C209" s="646">
        <v>258420</v>
      </c>
      <c r="D209" s="635">
        <v>258420</v>
      </c>
      <c r="E209" s="663"/>
      <c r="F209" s="664"/>
      <c r="G209" s="551">
        <v>4644</v>
      </c>
      <c r="H209" s="551">
        <v>4200</v>
      </c>
      <c r="I209" s="551">
        <v>3384</v>
      </c>
      <c r="J209" s="649">
        <f t="shared" si="35"/>
        <v>12228</v>
      </c>
      <c r="K209" s="668"/>
      <c r="L209" s="669">
        <f t="shared" si="14"/>
        <v>12228</v>
      </c>
      <c r="M209" s="668" t="s">
        <v>251</v>
      </c>
      <c r="N209" s="553">
        <v>3.6804985850845933</v>
      </c>
      <c r="O209" s="670">
        <f t="shared" si="15"/>
        <v>45005</v>
      </c>
      <c r="P209" s="640"/>
      <c r="Q209" s="653">
        <v>5760</v>
      </c>
      <c r="R209" s="653">
        <v>8190</v>
      </c>
      <c r="S209" s="653">
        <v>3366.1124210526314</v>
      </c>
      <c r="T209" s="650">
        <v>0.2036</v>
      </c>
      <c r="U209" s="652">
        <f t="shared" si="38"/>
        <v>3525.5604889263159</v>
      </c>
      <c r="V209" s="640"/>
      <c r="W209" s="653">
        <v>180</v>
      </c>
      <c r="X209" s="653">
        <v>0</v>
      </c>
      <c r="Y209" s="653">
        <v>180</v>
      </c>
      <c r="Z209" s="650">
        <v>1.7611399999999999</v>
      </c>
      <c r="AA209" s="654">
        <f t="shared" si="39"/>
        <v>634.0104</v>
      </c>
      <c r="AB209" s="635"/>
      <c r="AC209" s="671"/>
      <c r="AD209" s="642"/>
      <c r="AE209" s="671"/>
      <c r="AF209" s="642"/>
      <c r="AG209" s="671"/>
      <c r="AH209" s="635"/>
      <c r="AI209" s="672"/>
      <c r="AJ209" s="673"/>
      <c r="AK209" s="658">
        <f t="shared" si="16"/>
        <v>0</v>
      </c>
      <c r="AL209" s="635"/>
      <c r="AM209" s="653">
        <v>180</v>
      </c>
      <c r="AN209" s="653">
        <v>0</v>
      </c>
      <c r="AO209" s="653">
        <v>180</v>
      </c>
      <c r="AP209" s="650">
        <v>0.2036</v>
      </c>
      <c r="AQ209" s="652">
        <f t="shared" si="40"/>
        <v>73.296000000000006</v>
      </c>
      <c r="AR209" s="635"/>
      <c r="AS209" s="659">
        <f t="shared" si="37"/>
        <v>49237.866888926314</v>
      </c>
      <c r="AT209" s="643"/>
      <c r="AU209" s="567"/>
      <c r="AV209" s="567"/>
      <c r="AW209" s="567"/>
      <c r="AX209" s="567">
        <f t="shared" si="36"/>
        <v>49237.866888926314</v>
      </c>
      <c r="AY209" s="660"/>
      <c r="AZ209" s="631"/>
      <c r="BA209" s="490"/>
      <c r="BE209" s="480">
        <v>3525.5604889263159</v>
      </c>
      <c r="BF209" s="570">
        <f t="shared" si="41"/>
        <v>0</v>
      </c>
    </row>
    <row r="210" spans="1:58" s="645" customFormat="1" ht="15" x14ac:dyDescent="0.25">
      <c r="A210" s="644" t="s">
        <v>436</v>
      </c>
      <c r="B210" s="644" t="s">
        <v>437</v>
      </c>
      <c r="C210" s="646">
        <v>258424</v>
      </c>
      <c r="D210" s="635">
        <v>258424</v>
      </c>
      <c r="E210" s="663"/>
      <c r="F210" s="664"/>
      <c r="G210" s="551">
        <v>6660</v>
      </c>
      <c r="H210" s="551">
        <v>6300</v>
      </c>
      <c r="I210" s="551">
        <v>5400</v>
      </c>
      <c r="J210" s="649">
        <f t="shared" si="35"/>
        <v>18360</v>
      </c>
      <c r="K210" s="668"/>
      <c r="L210" s="669">
        <f t="shared" si="14"/>
        <v>18360</v>
      </c>
      <c r="M210" s="668" t="s">
        <v>251</v>
      </c>
      <c r="N210" s="553">
        <v>3.6804985850845933</v>
      </c>
      <c r="O210" s="670">
        <f t="shared" si="15"/>
        <v>67574</v>
      </c>
      <c r="P210" s="640"/>
      <c r="Q210" s="653">
        <v>3204</v>
      </c>
      <c r="R210" s="653">
        <v>2268</v>
      </c>
      <c r="S210" s="653">
        <v>3306.051473684211</v>
      </c>
      <c r="T210" s="650">
        <v>0.2036</v>
      </c>
      <c r="U210" s="652">
        <f t="shared" si="38"/>
        <v>1787.2112800421053</v>
      </c>
      <c r="V210" s="640"/>
      <c r="W210" s="653">
        <v>180</v>
      </c>
      <c r="X210" s="653">
        <v>0</v>
      </c>
      <c r="Y210" s="653">
        <v>180</v>
      </c>
      <c r="Z210" s="650">
        <v>1.7611399999999999</v>
      </c>
      <c r="AA210" s="654">
        <f t="shared" si="39"/>
        <v>634.0104</v>
      </c>
      <c r="AB210" s="635"/>
      <c r="AC210" s="671"/>
      <c r="AD210" s="642"/>
      <c r="AE210" s="671"/>
      <c r="AF210" s="642"/>
      <c r="AG210" s="671"/>
      <c r="AH210" s="635"/>
      <c r="AI210" s="672"/>
      <c r="AJ210" s="673"/>
      <c r="AK210" s="658">
        <f t="shared" si="16"/>
        <v>0</v>
      </c>
      <c r="AL210" s="635"/>
      <c r="AM210" s="653">
        <v>0</v>
      </c>
      <c r="AN210" s="653">
        <v>0</v>
      </c>
      <c r="AO210" s="653">
        <v>0</v>
      </c>
      <c r="AP210" s="650">
        <v>0.2036</v>
      </c>
      <c r="AQ210" s="652">
        <f t="shared" si="40"/>
        <v>0</v>
      </c>
      <c r="AR210" s="635"/>
      <c r="AS210" s="659">
        <f t="shared" si="37"/>
        <v>69995.221680042101</v>
      </c>
      <c r="AT210" s="643"/>
      <c r="AU210" s="567"/>
      <c r="AV210" s="567"/>
      <c r="AW210" s="567"/>
      <c r="AX210" s="567">
        <f t="shared" si="36"/>
        <v>69995.221680042101</v>
      </c>
      <c r="AY210" s="660"/>
      <c r="AZ210" s="631"/>
      <c r="BA210" s="490"/>
      <c r="BE210" s="480">
        <v>1787.2112800421053</v>
      </c>
      <c r="BF210" s="570">
        <f t="shared" si="41"/>
        <v>0</v>
      </c>
    </row>
    <row r="211" spans="1:58" s="645" customFormat="1" ht="15" x14ac:dyDescent="0.25">
      <c r="A211" s="102" t="s">
        <v>438</v>
      </c>
      <c r="B211" s="100"/>
      <c r="C211" s="100" t="s">
        <v>439</v>
      </c>
      <c r="D211" s="635">
        <v>467205</v>
      </c>
      <c r="E211" s="663"/>
      <c r="F211" s="664"/>
      <c r="G211" s="551">
        <v>180</v>
      </c>
      <c r="H211" s="551">
        <v>210</v>
      </c>
      <c r="I211" s="551">
        <v>180</v>
      </c>
      <c r="J211" s="649">
        <f t="shared" si="35"/>
        <v>570</v>
      </c>
      <c r="K211" s="668"/>
      <c r="L211" s="669">
        <f t="shared" ref="L211" si="42">IF(K211&lt;0,F211,J211)</f>
        <v>570</v>
      </c>
      <c r="M211" s="668" t="s">
        <v>266</v>
      </c>
      <c r="N211" s="553">
        <v>3.6804985850845933</v>
      </c>
      <c r="O211" s="670">
        <f t="shared" ref="O211" si="43">ROUND(N211*L211,0)</f>
        <v>2098</v>
      </c>
      <c r="P211" s="640"/>
      <c r="Q211" s="653">
        <v>0</v>
      </c>
      <c r="R211" s="653">
        <v>630</v>
      </c>
      <c r="S211" s="653">
        <v>682.1052631578948</v>
      </c>
      <c r="T211" s="650">
        <v>0.2036</v>
      </c>
      <c r="U211" s="652">
        <f t="shared" si="38"/>
        <v>267.14463157894738</v>
      </c>
      <c r="V211" s="640"/>
      <c r="W211" s="653">
        <v>0</v>
      </c>
      <c r="X211" s="653">
        <v>0</v>
      </c>
      <c r="Y211" s="653">
        <v>0</v>
      </c>
      <c r="Z211" s="650">
        <v>1.7611399999999999</v>
      </c>
      <c r="AA211" s="654">
        <f t="shared" si="39"/>
        <v>0</v>
      </c>
      <c r="AB211" s="635"/>
      <c r="AC211" s="671"/>
      <c r="AD211" s="642"/>
      <c r="AE211" s="671"/>
      <c r="AF211" s="642"/>
      <c r="AG211" s="671"/>
      <c r="AH211" s="635"/>
      <c r="AI211" s="672"/>
      <c r="AJ211" s="673"/>
      <c r="AK211" s="658">
        <f t="shared" ref="AK211:AK216" si="44">AJ211*AI211</f>
        <v>0</v>
      </c>
      <c r="AL211" s="635"/>
      <c r="AM211" s="653">
        <v>0</v>
      </c>
      <c r="AN211" s="653">
        <v>0</v>
      </c>
      <c r="AO211" s="653">
        <v>0</v>
      </c>
      <c r="AP211" s="650">
        <v>0.2036</v>
      </c>
      <c r="AQ211" s="652">
        <f t="shared" si="40"/>
        <v>0</v>
      </c>
      <c r="AR211" s="635"/>
      <c r="AS211" s="659">
        <f t="shared" si="37"/>
        <v>2365.1446315789472</v>
      </c>
      <c r="AT211" s="643"/>
      <c r="AU211" s="567"/>
      <c r="AV211" s="567"/>
      <c r="AW211" s="567"/>
      <c r="AX211" s="567">
        <f t="shared" si="36"/>
        <v>2365.1446315789472</v>
      </c>
      <c r="AY211" s="660"/>
      <c r="AZ211" s="631"/>
      <c r="BA211" s="490"/>
      <c r="BE211" s="480">
        <v>267.14463157894738</v>
      </c>
      <c r="BF211" s="570">
        <f t="shared" si="41"/>
        <v>0</v>
      </c>
    </row>
    <row r="212" spans="1:58" s="645" customFormat="1" ht="15" x14ac:dyDescent="0.25">
      <c r="A212" s="644" t="s">
        <v>440</v>
      </c>
      <c r="B212" s="644" t="s">
        <v>441</v>
      </c>
      <c r="C212" s="662" t="s">
        <v>442</v>
      </c>
      <c r="D212" s="635">
        <v>393352</v>
      </c>
      <c r="E212" s="663"/>
      <c r="F212" s="664"/>
      <c r="G212" s="551">
        <v>6300</v>
      </c>
      <c r="H212" s="551">
        <v>5670</v>
      </c>
      <c r="I212" s="551">
        <v>5940</v>
      </c>
      <c r="J212" s="649">
        <f t="shared" si="35"/>
        <v>17910</v>
      </c>
      <c r="K212" s="668"/>
      <c r="L212" s="669">
        <f>IF(K212&lt;0,F212,J212)</f>
        <v>17910</v>
      </c>
      <c r="M212" s="668" t="s">
        <v>266</v>
      </c>
      <c r="N212" s="553">
        <v>3.6804985850845933</v>
      </c>
      <c r="O212" s="670">
        <f>ROUND(N212*L212,0)</f>
        <v>65918</v>
      </c>
      <c r="P212" s="640"/>
      <c r="Q212" s="653">
        <v>2664</v>
      </c>
      <c r="R212" s="653">
        <v>1638</v>
      </c>
      <c r="S212" s="653">
        <v>2494.2164210526316</v>
      </c>
      <c r="T212" s="650">
        <v>0.2036</v>
      </c>
      <c r="U212" s="652">
        <f t="shared" si="38"/>
        <v>1383.7096633263159</v>
      </c>
      <c r="V212" s="640"/>
      <c r="W212" s="653">
        <v>0</v>
      </c>
      <c r="X212" s="653">
        <v>0</v>
      </c>
      <c r="Y212" s="653">
        <v>0</v>
      </c>
      <c r="Z212" s="650">
        <v>1.7611399999999999</v>
      </c>
      <c r="AA212" s="654">
        <f t="shared" si="39"/>
        <v>0</v>
      </c>
      <c r="AB212" s="635"/>
      <c r="AC212" s="671"/>
      <c r="AD212" s="642"/>
      <c r="AE212" s="671"/>
      <c r="AF212" s="642"/>
      <c r="AG212" s="671"/>
      <c r="AH212" s="635"/>
      <c r="AI212" s="672"/>
      <c r="AJ212" s="673"/>
      <c r="AK212" s="658">
        <f t="shared" si="44"/>
        <v>0</v>
      </c>
      <c r="AL212" s="635"/>
      <c r="AM212" s="653">
        <v>0</v>
      </c>
      <c r="AN212" s="653">
        <v>0</v>
      </c>
      <c r="AO212" s="653">
        <v>0</v>
      </c>
      <c r="AP212" s="650">
        <v>0.2036</v>
      </c>
      <c r="AQ212" s="652">
        <f t="shared" si="40"/>
        <v>0</v>
      </c>
      <c r="AR212" s="635"/>
      <c r="AS212" s="659">
        <f t="shared" si="37"/>
        <v>67301.709663326314</v>
      </c>
      <c r="AT212" s="643"/>
      <c r="AU212" s="567"/>
      <c r="AV212" s="567"/>
      <c r="AW212" s="567"/>
      <c r="AX212" s="567">
        <f t="shared" si="36"/>
        <v>67301.709663326314</v>
      </c>
      <c r="AY212" s="660"/>
      <c r="AZ212" s="631"/>
      <c r="BA212" s="490"/>
      <c r="BE212" s="480">
        <v>1383.7096633263159</v>
      </c>
      <c r="BF212" s="570">
        <f t="shared" si="41"/>
        <v>0</v>
      </c>
    </row>
    <row r="213" spans="1:58" s="645" customFormat="1" ht="15" x14ac:dyDescent="0.25">
      <c r="A213" s="730" t="s">
        <v>443</v>
      </c>
      <c r="B213" s="644"/>
      <c r="C213" s="734" t="s">
        <v>444</v>
      </c>
      <c r="D213" s="635">
        <v>431769</v>
      </c>
      <c r="E213" s="663"/>
      <c r="F213" s="664"/>
      <c r="G213" s="551">
        <v>12960</v>
      </c>
      <c r="H213" s="551">
        <v>10080</v>
      </c>
      <c r="I213" s="551">
        <v>11880</v>
      </c>
      <c r="J213" s="649">
        <f t="shared" si="35"/>
        <v>34920</v>
      </c>
      <c r="K213" s="668"/>
      <c r="L213" s="669">
        <f>IF(K213&lt;0,F213,J213)</f>
        <v>34920</v>
      </c>
      <c r="M213" s="668" t="s">
        <v>251</v>
      </c>
      <c r="N213" s="553">
        <v>3.6804985850845933</v>
      </c>
      <c r="O213" s="670">
        <f>ROUND(N213*L213,0)</f>
        <v>128523</v>
      </c>
      <c r="P213" s="640"/>
      <c r="Q213" s="653">
        <v>3276</v>
      </c>
      <c r="R213" s="653">
        <v>2226</v>
      </c>
      <c r="S213" s="653">
        <v>2129.8016842105262</v>
      </c>
      <c r="T213" s="650">
        <v>0.2036</v>
      </c>
      <c r="U213" s="652">
        <f t="shared" si="38"/>
        <v>1553.8348229052631</v>
      </c>
      <c r="V213" s="640"/>
      <c r="W213" s="653">
        <v>0</v>
      </c>
      <c r="X213" s="653">
        <v>0</v>
      </c>
      <c r="Y213" s="653">
        <v>0</v>
      </c>
      <c r="Z213" s="650">
        <v>1.7611399999999999</v>
      </c>
      <c r="AA213" s="654">
        <f t="shared" si="39"/>
        <v>0</v>
      </c>
      <c r="AB213" s="635"/>
      <c r="AC213" s="671"/>
      <c r="AD213" s="642"/>
      <c r="AE213" s="671"/>
      <c r="AF213" s="642"/>
      <c r="AG213" s="671"/>
      <c r="AH213" s="635"/>
      <c r="AI213" s="672"/>
      <c r="AJ213" s="673"/>
      <c r="AK213" s="658">
        <f t="shared" si="44"/>
        <v>0</v>
      </c>
      <c r="AL213" s="635"/>
      <c r="AM213" s="653">
        <v>0</v>
      </c>
      <c r="AN213" s="653">
        <v>0</v>
      </c>
      <c r="AO213" s="653">
        <v>0</v>
      </c>
      <c r="AP213" s="650">
        <v>0.2036</v>
      </c>
      <c r="AQ213" s="652">
        <f t="shared" si="40"/>
        <v>0</v>
      </c>
      <c r="AR213" s="635"/>
      <c r="AS213" s="659">
        <f t="shared" si="37"/>
        <v>130076.83482290526</v>
      </c>
      <c r="AT213" s="643"/>
      <c r="AU213" s="567"/>
      <c r="AV213" s="567"/>
      <c r="AW213" s="567"/>
      <c r="AX213" s="567">
        <f t="shared" si="36"/>
        <v>130076.83482290526</v>
      </c>
      <c r="AY213" s="660"/>
      <c r="AZ213" s="631"/>
      <c r="BA213" s="490"/>
      <c r="BE213" s="480">
        <v>1553.8348229052631</v>
      </c>
      <c r="BF213" s="570">
        <f t="shared" si="41"/>
        <v>0</v>
      </c>
    </row>
    <row r="214" spans="1:58" s="645" customFormat="1" ht="15" x14ac:dyDescent="0.25">
      <c r="A214" s="681" t="s">
        <v>445</v>
      </c>
      <c r="B214" s="735" t="s">
        <v>446</v>
      </c>
      <c r="C214" s="662" t="s">
        <v>446</v>
      </c>
      <c r="D214" s="635">
        <v>452684</v>
      </c>
      <c r="E214" s="663"/>
      <c r="F214" s="664"/>
      <c r="G214" s="551">
        <v>10980</v>
      </c>
      <c r="H214" s="551">
        <v>8400</v>
      </c>
      <c r="I214" s="551">
        <v>9000</v>
      </c>
      <c r="J214" s="649">
        <f t="shared" si="35"/>
        <v>28380</v>
      </c>
      <c r="K214" s="668"/>
      <c r="L214" s="669">
        <f>IF(K214&lt;0,F214,J214)</f>
        <v>28380</v>
      </c>
      <c r="M214" s="668" t="s">
        <v>251</v>
      </c>
      <c r="N214" s="553">
        <v>3.6804985850845933</v>
      </c>
      <c r="O214" s="670">
        <f>ROUND(N214*L214,0)</f>
        <v>104453</v>
      </c>
      <c r="P214" s="640"/>
      <c r="Q214" s="653">
        <v>13680</v>
      </c>
      <c r="R214" s="653">
        <v>9870</v>
      </c>
      <c r="S214" s="653">
        <v>6680.9368421052623</v>
      </c>
      <c r="T214" s="650">
        <v>0.2036</v>
      </c>
      <c r="U214" s="652">
        <f t="shared" si="38"/>
        <v>6155.0187410526314</v>
      </c>
      <c r="V214" s="640"/>
      <c r="W214" s="653">
        <v>0</v>
      </c>
      <c r="X214" s="653">
        <v>0</v>
      </c>
      <c r="Y214" s="653">
        <v>0</v>
      </c>
      <c r="Z214" s="650">
        <v>1.7611399999999999</v>
      </c>
      <c r="AA214" s="654">
        <f t="shared" si="39"/>
        <v>0</v>
      </c>
      <c r="AB214" s="635"/>
      <c r="AC214" s="671"/>
      <c r="AD214" s="642"/>
      <c r="AE214" s="671"/>
      <c r="AF214" s="642"/>
      <c r="AG214" s="671"/>
      <c r="AH214" s="635"/>
      <c r="AI214" s="672"/>
      <c r="AJ214" s="673"/>
      <c r="AK214" s="658">
        <f t="shared" si="44"/>
        <v>0</v>
      </c>
      <c r="AL214" s="635"/>
      <c r="AM214" s="653">
        <v>180</v>
      </c>
      <c r="AN214" s="653">
        <v>0</v>
      </c>
      <c r="AO214" s="653">
        <v>180</v>
      </c>
      <c r="AP214" s="650">
        <v>0.2036</v>
      </c>
      <c r="AQ214" s="652">
        <f t="shared" si="40"/>
        <v>73.296000000000006</v>
      </c>
      <c r="AR214" s="635"/>
      <c r="AS214" s="659">
        <f t="shared" si="37"/>
        <v>110681.31474105263</v>
      </c>
      <c r="AT214" s="643"/>
      <c r="AU214" s="567"/>
      <c r="AV214" s="567"/>
      <c r="AW214" s="567"/>
      <c r="AX214" s="567">
        <f t="shared" si="36"/>
        <v>110681.31474105263</v>
      </c>
      <c r="AY214" s="660"/>
      <c r="AZ214" s="631"/>
      <c r="BA214" s="490"/>
      <c r="BE214" s="480">
        <v>6155.0187410526314</v>
      </c>
      <c r="BF214" s="570">
        <f t="shared" si="41"/>
        <v>0</v>
      </c>
    </row>
    <row r="215" spans="1:58" s="645" customFormat="1" ht="15" x14ac:dyDescent="0.25">
      <c r="A215" s="644" t="s">
        <v>447</v>
      </c>
      <c r="B215" s="735"/>
      <c r="C215" s="662" t="s">
        <v>889</v>
      </c>
      <c r="D215" s="635" t="s">
        <v>889</v>
      </c>
      <c r="E215" s="663"/>
      <c r="F215" s="664"/>
      <c r="G215" s="551">
        <v>0</v>
      </c>
      <c r="H215" s="551">
        <v>0</v>
      </c>
      <c r="I215" s="551">
        <v>0</v>
      </c>
      <c r="J215" s="649">
        <f t="shared" si="35"/>
        <v>0</v>
      </c>
      <c r="K215" s="668"/>
      <c r="L215" s="669">
        <f>IF(K215&lt;0,F215,J215)</f>
        <v>0</v>
      </c>
      <c r="M215" s="668" t="s">
        <v>251</v>
      </c>
      <c r="N215" s="553">
        <v>3.6804985850845933</v>
      </c>
      <c r="O215" s="670">
        <f>ROUND(N215*L215,0)</f>
        <v>0</v>
      </c>
      <c r="P215" s="640"/>
      <c r="Q215" s="653">
        <v>0</v>
      </c>
      <c r="R215" s="653">
        <v>0</v>
      </c>
      <c r="S215" s="653">
        <v>0</v>
      </c>
      <c r="T215" s="650">
        <v>0.2036</v>
      </c>
      <c r="U215" s="652">
        <f t="shared" si="38"/>
        <v>0</v>
      </c>
      <c r="V215" s="640"/>
      <c r="W215" s="653">
        <v>0</v>
      </c>
      <c r="X215" s="653">
        <v>0</v>
      </c>
      <c r="Y215" s="653">
        <v>0</v>
      </c>
      <c r="Z215" s="650">
        <v>1.7611399999999999</v>
      </c>
      <c r="AA215" s="654">
        <f t="shared" si="39"/>
        <v>0</v>
      </c>
      <c r="AB215" s="635"/>
      <c r="AC215" s="671"/>
      <c r="AD215" s="642"/>
      <c r="AE215" s="671"/>
      <c r="AF215" s="642"/>
      <c r="AG215" s="671"/>
      <c r="AH215" s="635"/>
      <c r="AI215" s="672"/>
      <c r="AJ215" s="673"/>
      <c r="AK215" s="658">
        <f t="shared" si="44"/>
        <v>0</v>
      </c>
      <c r="AL215" s="635"/>
      <c r="AM215" s="653">
        <v>0</v>
      </c>
      <c r="AN215" s="653">
        <v>0</v>
      </c>
      <c r="AO215" s="653">
        <v>0</v>
      </c>
      <c r="AP215" s="650">
        <v>0.2036</v>
      </c>
      <c r="AQ215" s="652">
        <f t="shared" si="40"/>
        <v>0</v>
      </c>
      <c r="AR215" s="635"/>
      <c r="AS215" s="659">
        <f t="shared" si="37"/>
        <v>0</v>
      </c>
      <c r="AT215" s="643"/>
      <c r="AU215" s="567"/>
      <c r="AV215" s="567"/>
      <c r="AW215" s="567"/>
      <c r="AX215" s="567">
        <f t="shared" si="36"/>
        <v>0</v>
      </c>
      <c r="AY215" s="660"/>
      <c r="AZ215" s="631"/>
      <c r="BA215" s="490"/>
      <c r="BE215" s="480">
        <v>0</v>
      </c>
      <c r="BF215" s="570">
        <f t="shared" si="41"/>
        <v>0</v>
      </c>
    </row>
    <row r="216" spans="1:58" s="645" customFormat="1" ht="15" x14ac:dyDescent="0.25">
      <c r="A216" s="644" t="s">
        <v>447</v>
      </c>
      <c r="B216" s="644" t="s">
        <v>448</v>
      </c>
      <c r="C216" s="646">
        <v>509204</v>
      </c>
      <c r="D216" s="635">
        <v>509204</v>
      </c>
      <c r="E216" s="736"/>
      <c r="F216" s="737"/>
      <c r="G216" s="551">
        <v>10524</v>
      </c>
      <c r="H216" s="551">
        <v>11284</v>
      </c>
      <c r="I216" s="551">
        <v>11544</v>
      </c>
      <c r="J216" s="649">
        <f t="shared" si="35"/>
        <v>33352</v>
      </c>
      <c r="K216" s="738"/>
      <c r="L216" s="739">
        <f>IF(K216&lt;0,F216,J216)</f>
        <v>33352</v>
      </c>
      <c r="M216" s="738" t="s">
        <v>251</v>
      </c>
      <c r="N216" s="553">
        <v>3.6804985850845933</v>
      </c>
      <c r="O216" s="740">
        <f>ROUND(N216*L216,0)</f>
        <v>122752</v>
      </c>
      <c r="P216" s="640"/>
      <c r="Q216" s="653">
        <v>720</v>
      </c>
      <c r="R216" s="653">
        <v>0</v>
      </c>
      <c r="S216" s="653">
        <v>2101.458315789474</v>
      </c>
      <c r="T216" s="650">
        <v>0.2036</v>
      </c>
      <c r="U216" s="652">
        <f t="shared" si="38"/>
        <v>574.44891309473689</v>
      </c>
      <c r="V216" s="640"/>
      <c r="W216" s="653">
        <v>0</v>
      </c>
      <c r="X216" s="653">
        <v>0</v>
      </c>
      <c r="Y216" s="653">
        <v>0</v>
      </c>
      <c r="Z216" s="650">
        <v>1.7611399999999999</v>
      </c>
      <c r="AA216" s="654">
        <f t="shared" si="39"/>
        <v>0</v>
      </c>
      <c r="AB216" s="635"/>
      <c r="AC216" s="741"/>
      <c r="AD216" s="642"/>
      <c r="AE216" s="741"/>
      <c r="AF216" s="642"/>
      <c r="AG216" s="741"/>
      <c r="AH216" s="635"/>
      <c r="AI216" s="742"/>
      <c r="AJ216" s="743"/>
      <c r="AK216" s="658">
        <f t="shared" si="44"/>
        <v>0</v>
      </c>
      <c r="AL216" s="635"/>
      <c r="AM216" s="653">
        <v>180</v>
      </c>
      <c r="AN216" s="653">
        <v>0</v>
      </c>
      <c r="AO216" s="653">
        <v>180</v>
      </c>
      <c r="AP216" s="650">
        <v>0.2036</v>
      </c>
      <c r="AQ216" s="652">
        <f t="shared" si="40"/>
        <v>73.296000000000006</v>
      </c>
      <c r="AR216" s="635"/>
      <c r="AS216" s="659">
        <f t="shared" si="37"/>
        <v>123399.74491309474</v>
      </c>
      <c r="AT216" s="643"/>
      <c r="AU216" s="567"/>
      <c r="AV216" s="567"/>
      <c r="AW216" s="567"/>
      <c r="AX216" s="567">
        <f t="shared" si="36"/>
        <v>123399.74491309474</v>
      </c>
      <c r="AY216" s="660"/>
      <c r="AZ216" s="631"/>
      <c r="BA216" s="490"/>
      <c r="BE216" s="480">
        <v>574.44891309473689</v>
      </c>
      <c r="BF216" s="570">
        <f t="shared" si="41"/>
        <v>0</v>
      </c>
    </row>
    <row r="217" spans="1:58" s="645" customFormat="1" ht="15" x14ac:dyDescent="0.25">
      <c r="A217" s="632" t="s">
        <v>890</v>
      </c>
      <c r="B217" s="633"/>
      <c r="C217" s="634"/>
      <c r="D217" s="635"/>
      <c r="E217" s="636"/>
      <c r="F217" s="636"/>
      <c r="G217" s="637"/>
      <c r="H217" s="637"/>
      <c r="I217" s="637"/>
      <c r="J217" s="638"/>
      <c r="K217" s="636"/>
      <c r="L217" s="744"/>
      <c r="M217" s="636"/>
      <c r="N217" s="636"/>
      <c r="O217" s="639"/>
      <c r="P217" s="640"/>
      <c r="Q217" s="745"/>
      <c r="R217" s="745"/>
      <c r="S217" s="745"/>
      <c r="T217" s="636"/>
      <c r="U217" s="639"/>
      <c r="V217" s="746"/>
      <c r="W217" s="747"/>
      <c r="X217" s="747"/>
      <c r="Y217" s="747"/>
      <c r="Z217" s="636"/>
      <c r="AA217" s="637"/>
      <c r="AB217" s="635"/>
      <c r="AC217" s="641"/>
      <c r="AD217" s="642"/>
      <c r="AE217" s="641"/>
      <c r="AF217" s="642"/>
      <c r="AG217" s="641"/>
      <c r="AH217" s="635"/>
      <c r="AI217" s="636"/>
      <c r="AJ217" s="636"/>
      <c r="AK217" s="748"/>
      <c r="AL217" s="635"/>
      <c r="AM217" s="745"/>
      <c r="AN217" s="745"/>
      <c r="AO217" s="745"/>
      <c r="AP217" s="636"/>
      <c r="AQ217" s="639"/>
      <c r="AR217" s="635"/>
      <c r="AS217" s="659">
        <f t="shared" si="37"/>
        <v>0</v>
      </c>
      <c r="AT217" s="643"/>
      <c r="AU217" s="567"/>
      <c r="AV217" s="567">
        <v>80000</v>
      </c>
      <c r="AW217" s="567"/>
      <c r="AX217" s="567">
        <f t="shared" si="36"/>
        <v>80000</v>
      </c>
      <c r="AY217" s="660"/>
      <c r="AZ217" s="631"/>
      <c r="BA217" s="490"/>
      <c r="BE217" s="480"/>
      <c r="BF217" s="570"/>
    </row>
    <row r="218" spans="1:58" s="765" customFormat="1" ht="15" x14ac:dyDescent="0.25">
      <c r="A218" s="749" t="s">
        <v>891</v>
      </c>
      <c r="B218" s="750"/>
      <c r="C218" s="751"/>
      <c r="D218" s="752"/>
      <c r="E218" s="753"/>
      <c r="F218" s="754"/>
      <c r="G218" s="755">
        <f>SUM(G61:G217)</f>
        <v>451521</v>
      </c>
      <c r="H218" s="756">
        <f>SUM(H61:H217)</f>
        <v>363530</v>
      </c>
      <c r="I218" s="756">
        <f>SUM(I61:I216)</f>
        <v>389908</v>
      </c>
      <c r="J218" s="757">
        <f>SUM(J61:J217)</f>
        <v>1204959</v>
      </c>
      <c r="K218" s="758"/>
      <c r="L218" s="757">
        <f>SUM(L61:L217)</f>
        <v>1204959</v>
      </c>
      <c r="M218" s="754"/>
      <c r="N218" s="754"/>
      <c r="O218" s="759">
        <f>SUM(O61:O217)</f>
        <v>4434844</v>
      </c>
      <c r="P218" s="760"/>
      <c r="Q218" s="761">
        <f>SUM(Q61:Q217)</f>
        <v>400905</v>
      </c>
      <c r="R218" s="761">
        <f>SUM(R61:R217)</f>
        <v>305340</v>
      </c>
      <c r="S218" s="761">
        <f>SUM(S61:S217)</f>
        <v>316682.13205263164</v>
      </c>
      <c r="T218" s="754"/>
      <c r="U218" s="759">
        <f>SUM(U61:U217)</f>
        <v>208267.96408591582</v>
      </c>
      <c r="V218" s="760"/>
      <c r="W218" s="761">
        <f>SUM(W61:W217)</f>
        <v>8148</v>
      </c>
      <c r="X218" s="761">
        <f>SUM(X61:X217)</f>
        <v>4536</v>
      </c>
      <c r="Y218" s="761">
        <f>SUM(Y61:Y217)</f>
        <v>8148</v>
      </c>
      <c r="Z218" s="754"/>
      <c r="AA218" s="762">
        <f>SUM(AA61:AA217)</f>
        <v>36688.068479999994</v>
      </c>
      <c r="AB218" s="752"/>
      <c r="AC218" s="763">
        <f>SUM(AC61:AC217)</f>
        <v>0</v>
      </c>
      <c r="AD218" s="752"/>
      <c r="AE218" s="763">
        <f>SUM(AE61:AE217)</f>
        <v>0</v>
      </c>
      <c r="AF218" s="752"/>
      <c r="AG218" s="763">
        <f>SUM(AG61:AG217)</f>
        <v>0</v>
      </c>
      <c r="AH218" s="752"/>
      <c r="AI218" s="754"/>
      <c r="AJ218" s="754"/>
      <c r="AK218" s="759">
        <f>SUM(AK61:AK217)</f>
        <v>0</v>
      </c>
      <c r="AL218" s="752"/>
      <c r="AM218" s="761">
        <f>SUM(AM61:AM217)</f>
        <v>43401</v>
      </c>
      <c r="AN218" s="761">
        <f>SUM(AN61:AN217)</f>
        <v>24094</v>
      </c>
      <c r="AO218" s="761">
        <f>SUM(AO61:AO217)</f>
        <v>43401</v>
      </c>
      <c r="AP218" s="754"/>
      <c r="AQ218" s="759">
        <f>SUM(AQ61:AQ217)</f>
        <v>22578.425600000002</v>
      </c>
      <c r="AR218" s="752"/>
      <c r="AS218" s="567">
        <f>SUM(AS61:AS217)</f>
        <v>4702378.4581659148</v>
      </c>
      <c r="AT218" s="764"/>
      <c r="AU218" s="567">
        <f>SUM(AU61:AU217)</f>
        <v>0</v>
      </c>
      <c r="AV218" s="567">
        <f>SUM(AV61:AV217)</f>
        <v>80000</v>
      </c>
      <c r="AW218" s="567">
        <f>SUM(AW61:AW217)</f>
        <v>0</v>
      </c>
      <c r="AX218" s="567">
        <f>SUM(AX61:AX217)</f>
        <v>4782378.4581659148</v>
      </c>
      <c r="AY218" s="660"/>
      <c r="AZ218" s="631"/>
      <c r="BA218" s="490"/>
      <c r="BB218" s="645"/>
      <c r="BE218" s="480"/>
    </row>
    <row r="219" spans="1:58" s="645" customFormat="1" x14ac:dyDescent="0.2">
      <c r="A219" s="766" t="s">
        <v>116</v>
      </c>
      <c r="B219" s="766"/>
      <c r="C219" s="767" t="s">
        <v>117</v>
      </c>
      <c r="E219" s="768">
        <f t="shared" ref="E219:AW219" si="45">E218+E56</f>
        <v>63878</v>
      </c>
      <c r="F219" s="768">
        <f t="shared" si="45"/>
        <v>1916340</v>
      </c>
      <c r="G219" s="768">
        <f t="shared" si="45"/>
        <v>930835</v>
      </c>
      <c r="H219" s="768">
        <f t="shared" si="45"/>
        <v>765962</v>
      </c>
      <c r="I219" s="768">
        <f t="shared" si="45"/>
        <v>806014</v>
      </c>
      <c r="J219" s="768">
        <f t="shared" si="45"/>
        <v>2502811</v>
      </c>
      <c r="K219" s="768">
        <f t="shared" si="45"/>
        <v>0</v>
      </c>
      <c r="L219" s="768">
        <f t="shared" si="45"/>
        <v>2502811</v>
      </c>
      <c r="M219" s="768">
        <f t="shared" si="45"/>
        <v>0</v>
      </c>
      <c r="N219" s="768">
        <f t="shared" si="45"/>
        <v>0</v>
      </c>
      <c r="O219" s="768">
        <f t="shared" si="45"/>
        <v>9699981</v>
      </c>
      <c r="P219" s="768">
        <f t="shared" si="45"/>
        <v>0</v>
      </c>
      <c r="Q219" s="768">
        <f t="shared" si="45"/>
        <v>1191573</v>
      </c>
      <c r="R219" s="768">
        <f t="shared" si="45"/>
        <v>944769</v>
      </c>
      <c r="S219" s="768">
        <f t="shared" si="45"/>
        <v>1068687.0937287449</v>
      </c>
      <c r="T219" s="768">
        <f t="shared" si="45"/>
        <v>0</v>
      </c>
      <c r="U219" s="768">
        <f t="shared" si="45"/>
        <v>652543.92348317243</v>
      </c>
      <c r="V219" s="768">
        <f t="shared" si="45"/>
        <v>0</v>
      </c>
      <c r="W219" s="768">
        <f t="shared" si="45"/>
        <v>22548</v>
      </c>
      <c r="X219" s="768">
        <f t="shared" si="45"/>
        <v>14826</v>
      </c>
      <c r="Y219" s="768">
        <f t="shared" si="45"/>
        <v>22461.461538461539</v>
      </c>
      <c r="Z219" s="768">
        <f t="shared" si="45"/>
        <v>0</v>
      </c>
      <c r="AA219" s="768">
        <f t="shared" si="45"/>
        <v>105378.62473384617</v>
      </c>
      <c r="AB219" s="768">
        <f t="shared" si="45"/>
        <v>0</v>
      </c>
      <c r="AC219" s="768">
        <f t="shared" si="45"/>
        <v>252055</v>
      </c>
      <c r="AD219" s="768">
        <f t="shared" si="45"/>
        <v>0</v>
      </c>
      <c r="AE219" s="768">
        <f t="shared" si="45"/>
        <v>0</v>
      </c>
      <c r="AF219" s="768">
        <f t="shared" si="45"/>
        <v>0</v>
      </c>
      <c r="AG219" s="768">
        <f t="shared" si="45"/>
        <v>68249.15625</v>
      </c>
      <c r="AH219" s="768">
        <f t="shared" si="45"/>
        <v>0</v>
      </c>
      <c r="AI219" s="768">
        <f t="shared" si="45"/>
        <v>8</v>
      </c>
      <c r="AJ219" s="768">
        <f t="shared" si="45"/>
        <v>0</v>
      </c>
      <c r="AK219" s="768">
        <f t="shared" si="45"/>
        <v>800000</v>
      </c>
      <c r="AL219" s="768">
        <f t="shared" si="45"/>
        <v>0</v>
      </c>
      <c r="AM219" s="768">
        <f t="shared" si="45"/>
        <v>172533</v>
      </c>
      <c r="AN219" s="768">
        <f t="shared" si="45"/>
        <v>96474</v>
      </c>
      <c r="AO219" s="768">
        <f t="shared" si="45"/>
        <v>172100.30769230769</v>
      </c>
      <c r="AP219" s="768">
        <f t="shared" si="45"/>
        <v>0</v>
      </c>
      <c r="AQ219" s="768">
        <f t="shared" si="45"/>
        <v>89809.447846153853</v>
      </c>
      <c r="AR219" s="768">
        <f t="shared" si="45"/>
        <v>0</v>
      </c>
      <c r="AS219" s="768">
        <f t="shared" si="45"/>
        <v>11668017.152313173</v>
      </c>
      <c r="AT219" s="768">
        <f t="shared" si="45"/>
        <v>0</v>
      </c>
      <c r="AU219" s="768">
        <f t="shared" si="45"/>
        <v>-20221.939999999999</v>
      </c>
      <c r="AV219" s="768">
        <f t="shared" si="45"/>
        <v>80000</v>
      </c>
      <c r="AW219" s="768">
        <f t="shared" si="45"/>
        <v>68114.5</v>
      </c>
      <c r="AX219" s="768">
        <f>AX218+AX56</f>
        <v>11795909.712313173</v>
      </c>
      <c r="AY219" s="644"/>
      <c r="BA219" s="769"/>
      <c r="BE219" s="480"/>
    </row>
    <row r="220" spans="1:58" s="645" customFormat="1" x14ac:dyDescent="0.2">
      <c r="A220" s="644"/>
      <c r="C220" s="770"/>
      <c r="E220" s="771"/>
      <c r="F220" s="771"/>
      <c r="G220" s="772"/>
      <c r="H220" s="772"/>
      <c r="I220" s="772"/>
      <c r="J220" s="768"/>
      <c r="K220" s="771"/>
      <c r="L220" s="771"/>
      <c r="M220" s="771"/>
      <c r="N220" s="771"/>
      <c r="O220" s="768"/>
      <c r="P220" s="771"/>
      <c r="Q220" s="771"/>
      <c r="R220" s="771"/>
      <c r="S220" s="771"/>
      <c r="T220" s="771"/>
      <c r="U220" s="768"/>
      <c r="V220" s="771"/>
      <c r="W220" s="771"/>
      <c r="X220" s="771"/>
      <c r="Y220" s="771"/>
      <c r="Z220" s="771"/>
      <c r="AA220" s="772"/>
      <c r="AC220" s="773"/>
      <c r="AE220" s="773"/>
      <c r="AG220" s="773"/>
      <c r="AI220" s="771"/>
      <c r="AJ220" s="771"/>
      <c r="AK220" s="768"/>
      <c r="AM220" s="771"/>
      <c r="AN220" s="771"/>
      <c r="AO220" s="771"/>
      <c r="AP220" s="771"/>
      <c r="AQ220" s="768"/>
      <c r="AS220" s="768"/>
      <c r="AU220" s="774"/>
      <c r="AV220" s="774"/>
      <c r="AW220" s="774"/>
      <c r="AX220" s="774"/>
      <c r="AY220" s="644"/>
      <c r="BA220" s="769"/>
    </row>
    <row r="221" spans="1:58" s="644" customFormat="1" x14ac:dyDescent="0.2">
      <c r="A221" s="666" t="s">
        <v>892</v>
      </c>
      <c r="B221" s="775"/>
      <c r="C221" s="776"/>
      <c r="E221" s="777"/>
      <c r="F221" s="777"/>
      <c r="G221" s="778"/>
      <c r="H221" s="778"/>
      <c r="I221" s="778"/>
      <c r="J221" s="779"/>
      <c r="K221" s="777"/>
      <c r="L221" s="777"/>
      <c r="M221" s="777"/>
      <c r="N221" s="777"/>
      <c r="O221" s="779"/>
      <c r="P221" s="777"/>
      <c r="Q221" s="777"/>
      <c r="R221" s="777"/>
      <c r="S221" s="777"/>
      <c r="T221" s="777"/>
      <c r="U221" s="779"/>
      <c r="V221" s="777"/>
      <c r="W221" s="777"/>
      <c r="X221" s="777"/>
      <c r="Y221" s="777"/>
      <c r="Z221" s="777"/>
      <c r="AA221" s="778"/>
      <c r="AC221" s="780"/>
      <c r="AE221" s="780"/>
      <c r="AG221" s="780"/>
      <c r="AI221" s="777"/>
      <c r="AJ221" s="777"/>
      <c r="AK221" s="779"/>
      <c r="AM221" s="777"/>
      <c r="AN221" s="777"/>
      <c r="AO221" s="777"/>
      <c r="AP221" s="777"/>
      <c r="AQ221" s="779"/>
      <c r="AS221" s="779"/>
      <c r="AU221" s="774"/>
      <c r="AV221" s="774"/>
      <c r="AW221" s="774"/>
      <c r="AX221" s="774"/>
      <c r="AY221" s="774"/>
      <c r="BA221" s="781"/>
    </row>
    <row r="222" spans="1:58" s="644" customFormat="1" x14ac:dyDescent="0.2">
      <c r="A222" s="666" t="s">
        <v>654</v>
      </c>
      <c r="B222" s="775">
        <f>O218</f>
        <v>4434844</v>
      </c>
      <c r="C222" s="776"/>
      <c r="E222" s="775"/>
      <c r="F222" s="777"/>
      <c r="G222" s="778"/>
      <c r="H222" s="778"/>
      <c r="I222" s="778"/>
      <c r="J222" s="779"/>
      <c r="K222" s="777"/>
      <c r="L222" s="777"/>
      <c r="M222" s="777"/>
      <c r="N222" s="777"/>
      <c r="O222" s="779"/>
      <c r="P222" s="777"/>
      <c r="Q222" s="779"/>
      <c r="R222" s="779"/>
      <c r="S222" s="779"/>
      <c r="T222" s="777"/>
      <c r="U222" s="779"/>
      <c r="V222" s="777"/>
      <c r="W222" s="779"/>
      <c r="X222" s="779"/>
      <c r="Y222" s="779"/>
      <c r="Z222" s="777"/>
      <c r="AA222" s="779"/>
      <c r="AC222" s="779"/>
      <c r="AE222" s="779"/>
      <c r="AG222" s="779"/>
      <c r="AI222" s="777"/>
      <c r="AJ222" s="777"/>
      <c r="AK222" s="779"/>
      <c r="AM222" s="779"/>
      <c r="AN222" s="779"/>
      <c r="AO222" s="779"/>
      <c r="AP222" s="777"/>
      <c r="AQ222" s="779"/>
      <c r="AS222" s="779"/>
      <c r="AU222" s="779">
        <f>AS219+AV219</f>
        <v>11748017.152313173</v>
      </c>
      <c r="AV222" s="779"/>
      <c r="AW222" s="779"/>
      <c r="AX222" s="779"/>
      <c r="AY222" s="779"/>
      <c r="BA222" s="781"/>
    </row>
    <row r="223" spans="1:58" s="644" customFormat="1" x14ac:dyDescent="0.2">
      <c r="A223" s="666" t="s">
        <v>893</v>
      </c>
      <c r="B223" s="775">
        <f>U218</f>
        <v>208267.96408591582</v>
      </c>
      <c r="C223" s="776"/>
      <c r="E223" s="775"/>
      <c r="G223" s="775"/>
      <c r="H223" s="775"/>
      <c r="I223" s="775"/>
      <c r="J223" s="774"/>
      <c r="AU223" s="774">
        <f>'Summary for Prints'!Z124</f>
        <v>11748016.853475936</v>
      </c>
      <c r="AV223" s="774"/>
      <c r="AW223" s="819" t="s">
        <v>933</v>
      </c>
      <c r="AX223" s="644">
        <f>11795910-47893</f>
        <v>11748017</v>
      </c>
      <c r="BA223" s="781"/>
    </row>
    <row r="224" spans="1:58" s="644" customFormat="1" x14ac:dyDescent="0.2">
      <c r="A224" s="666" t="s">
        <v>894</v>
      </c>
      <c r="B224" s="775">
        <f>AA218</f>
        <v>36688.068479999994</v>
      </c>
      <c r="C224" s="776"/>
      <c r="E224" s="775"/>
      <c r="F224" s="777"/>
      <c r="G224" s="778"/>
      <c r="H224" s="778"/>
      <c r="I224" s="778"/>
      <c r="J224" s="779"/>
      <c r="K224" s="777"/>
      <c r="L224" s="777"/>
      <c r="M224" s="777"/>
      <c r="N224" s="777"/>
      <c r="O224" s="779"/>
      <c r="P224" s="777"/>
      <c r="Q224" s="777"/>
      <c r="R224" s="777"/>
      <c r="S224" s="777"/>
      <c r="T224" s="777"/>
      <c r="U224" s="779"/>
      <c r="V224" s="777"/>
      <c r="W224" s="777"/>
      <c r="X224" s="777"/>
      <c r="Y224" s="777"/>
      <c r="Z224" s="777"/>
      <c r="AA224" s="778"/>
      <c r="AC224" s="780"/>
      <c r="AE224" s="780"/>
      <c r="AG224" s="780"/>
      <c r="AI224" s="777"/>
      <c r="AJ224" s="777"/>
      <c r="AK224" s="779"/>
      <c r="AM224" s="777"/>
      <c r="AN224" s="777"/>
      <c r="AO224" s="777"/>
      <c r="AP224" s="777"/>
      <c r="AQ224" s="779"/>
      <c r="AS224" s="779"/>
      <c r="AU224" s="774">
        <f>AU223-AU222</f>
        <v>-0.29883723706007004</v>
      </c>
      <c r="AV224" s="774"/>
      <c r="AW224" s="819" t="s">
        <v>76</v>
      </c>
      <c r="AX224" s="774">
        <f>AW219+AU219</f>
        <v>47892.56</v>
      </c>
      <c r="BA224" s="781"/>
    </row>
    <row r="225" spans="1:53" s="666" customFormat="1" x14ac:dyDescent="0.2">
      <c r="A225" s="666" t="s">
        <v>198</v>
      </c>
      <c r="B225" s="782">
        <f>AQ218</f>
        <v>22578.425600000002</v>
      </c>
      <c r="C225" s="776"/>
      <c r="E225" s="782"/>
      <c r="F225" s="783"/>
      <c r="G225" s="784"/>
      <c r="H225" s="784"/>
      <c r="I225" s="784"/>
      <c r="J225" s="785"/>
      <c r="K225" s="785"/>
      <c r="L225" s="785"/>
      <c r="M225" s="785"/>
      <c r="N225" s="785"/>
      <c r="O225" s="785"/>
      <c r="P225" s="785"/>
      <c r="Q225" s="785"/>
      <c r="R225" s="785"/>
      <c r="S225" s="785"/>
      <c r="T225" s="785"/>
      <c r="U225" s="785"/>
      <c r="V225" s="785"/>
      <c r="W225" s="785"/>
      <c r="X225" s="785"/>
      <c r="Y225" s="785"/>
      <c r="Z225" s="785"/>
      <c r="AA225" s="785"/>
      <c r="AB225" s="785"/>
      <c r="AC225" s="785"/>
      <c r="AD225" s="785"/>
      <c r="AE225" s="785"/>
      <c r="AF225" s="785"/>
      <c r="AG225" s="785"/>
      <c r="AH225" s="785"/>
      <c r="AI225" s="785"/>
      <c r="AJ225" s="785"/>
      <c r="AK225" s="785"/>
      <c r="AL225" s="785"/>
      <c r="AM225" s="785"/>
      <c r="AN225" s="785"/>
      <c r="AO225" s="785"/>
      <c r="AP225" s="785"/>
      <c r="AQ225" s="785"/>
      <c r="AR225" s="785"/>
      <c r="AS225" s="785"/>
      <c r="AT225" s="785"/>
      <c r="AU225" s="785"/>
      <c r="AV225" s="785"/>
      <c r="AW225" s="785" t="s">
        <v>580</v>
      </c>
      <c r="AX225" s="785">
        <f>AX223+AX224</f>
        <v>11795909.560000001</v>
      </c>
      <c r="AY225" s="785"/>
      <c r="AZ225" s="785"/>
      <c r="BA225" s="786"/>
    </row>
    <row r="226" spans="1:53" s="666" customFormat="1" x14ac:dyDescent="0.2">
      <c r="A226" s="666" t="s">
        <v>200</v>
      </c>
      <c r="B226" s="782">
        <f>AG219</f>
        <v>68249.15625</v>
      </c>
      <c r="C226" s="776"/>
      <c r="E226" s="782"/>
      <c r="F226" s="783"/>
      <c r="G226" s="784"/>
      <c r="H226" s="784"/>
      <c r="I226" s="784"/>
      <c r="J226" s="785"/>
      <c r="K226" s="785"/>
      <c r="L226" s="785"/>
      <c r="M226" s="785"/>
      <c r="N226" s="785"/>
      <c r="O226" s="785"/>
      <c r="P226" s="785"/>
      <c r="Q226" s="785"/>
      <c r="R226" s="785"/>
      <c r="S226" s="785"/>
      <c r="T226" s="785"/>
      <c r="U226" s="785"/>
      <c r="V226" s="785"/>
      <c r="W226" s="785"/>
      <c r="X226" s="785"/>
      <c r="Y226" s="785"/>
      <c r="Z226" s="785"/>
      <c r="AA226" s="785"/>
      <c r="AB226" s="785"/>
      <c r="AC226" s="785"/>
      <c r="AD226" s="785"/>
      <c r="AE226" s="785"/>
      <c r="AF226" s="785"/>
      <c r="AG226" s="785"/>
      <c r="AH226" s="785"/>
      <c r="AI226" s="785"/>
      <c r="AJ226" s="785"/>
      <c r="AK226" s="785"/>
      <c r="AL226" s="785"/>
      <c r="AM226" s="785"/>
      <c r="AN226" s="785"/>
      <c r="AO226" s="785"/>
      <c r="AP226" s="785"/>
      <c r="AQ226" s="785"/>
      <c r="AR226" s="785"/>
      <c r="AS226" s="785"/>
      <c r="AT226" s="785"/>
      <c r="AU226" s="785"/>
      <c r="AV226" s="785"/>
      <c r="AW226" s="785" t="s">
        <v>934</v>
      </c>
      <c r="AX226" s="785">
        <f>AX225-AX219</f>
        <v>-0.15231317281723022</v>
      </c>
      <c r="AY226" s="785"/>
      <c r="AZ226" s="785"/>
      <c r="BA226" s="786"/>
    </row>
    <row r="227" spans="1:53" s="666" customFormat="1" x14ac:dyDescent="0.2">
      <c r="A227" s="666" t="s">
        <v>76</v>
      </c>
      <c r="B227" s="782">
        <f>AW219</f>
        <v>68114.5</v>
      </c>
      <c r="C227" s="776"/>
      <c r="E227" s="782"/>
      <c r="F227" s="783"/>
      <c r="G227" s="784"/>
      <c r="H227" s="784"/>
      <c r="I227" s="784"/>
      <c r="J227" s="785"/>
      <c r="K227" s="785"/>
      <c r="L227" s="785"/>
      <c r="M227" s="785"/>
      <c r="N227" s="785"/>
      <c r="O227" s="785"/>
      <c r="P227" s="785"/>
      <c r="Q227" s="785"/>
      <c r="R227" s="785"/>
      <c r="S227" s="785"/>
      <c r="T227" s="785"/>
      <c r="U227" s="785"/>
      <c r="V227" s="785"/>
      <c r="W227" s="785"/>
      <c r="X227" s="785"/>
      <c r="Y227" s="785"/>
      <c r="Z227" s="785"/>
      <c r="AA227" s="785"/>
      <c r="AB227" s="785"/>
      <c r="AC227" s="785"/>
      <c r="AD227" s="785"/>
      <c r="AE227" s="785"/>
      <c r="AF227" s="785"/>
      <c r="AG227" s="785"/>
      <c r="AH227" s="785"/>
      <c r="AI227" s="785"/>
      <c r="AJ227" s="785"/>
      <c r="AK227" s="785"/>
      <c r="AL227" s="785"/>
      <c r="AM227" s="785"/>
      <c r="AN227" s="785"/>
      <c r="AO227" s="785"/>
      <c r="AP227" s="785"/>
      <c r="AQ227" s="785"/>
      <c r="AR227" s="785"/>
      <c r="AS227" s="785"/>
      <c r="AT227" s="785"/>
      <c r="AU227" s="785"/>
      <c r="AV227" s="785"/>
      <c r="AW227" s="785"/>
      <c r="AX227" s="785"/>
      <c r="AY227" s="785"/>
      <c r="AZ227" s="785"/>
      <c r="BA227" s="786"/>
    </row>
    <row r="228" spans="1:53" s="644" customFormat="1" x14ac:dyDescent="0.2">
      <c r="A228" s="787" t="s">
        <v>149</v>
      </c>
      <c r="B228" s="788">
        <f>SUM(B222:B225)</f>
        <v>4702378.4581659157</v>
      </c>
      <c r="C228" s="789"/>
      <c r="E228" s="788"/>
      <c r="F228" s="777"/>
      <c r="G228" s="778"/>
      <c r="H228" s="778"/>
      <c r="I228" s="778"/>
      <c r="J228" s="779"/>
      <c r="K228" s="777"/>
      <c r="L228" s="777"/>
      <c r="M228" s="777"/>
      <c r="N228" s="777"/>
      <c r="O228" s="779"/>
      <c r="P228" s="777"/>
      <c r="Q228" s="777"/>
      <c r="R228" s="777"/>
      <c r="S228" s="777"/>
      <c r="T228" s="777"/>
      <c r="U228" s="779"/>
      <c r="V228" s="777"/>
      <c r="W228" s="777"/>
      <c r="X228" s="777"/>
      <c r="Y228" s="777"/>
      <c r="Z228" s="777"/>
      <c r="AA228" s="778"/>
      <c r="AC228" s="780"/>
      <c r="AE228" s="780"/>
      <c r="AG228" s="780"/>
      <c r="AI228" s="777"/>
      <c r="AJ228" s="777"/>
      <c r="AK228" s="779"/>
      <c r="AM228" s="777"/>
      <c r="AN228" s="777"/>
      <c r="AO228" s="777"/>
      <c r="AP228" s="777"/>
      <c r="AQ228" s="779"/>
      <c r="AS228" s="779"/>
      <c r="AU228" s="774"/>
      <c r="AV228" s="774"/>
      <c r="AW228" s="774"/>
      <c r="AX228" s="774"/>
      <c r="BA228" s="781"/>
    </row>
    <row r="229" spans="1:53" x14ac:dyDescent="0.2">
      <c r="A229" s="491" t="s">
        <v>695</v>
      </c>
      <c r="B229" s="570">
        <f>AV219</f>
        <v>80000</v>
      </c>
    </row>
    <row r="230" spans="1:53" x14ac:dyDescent="0.2">
      <c r="B230" s="790">
        <f>B229+B228</f>
        <v>4782378.4581659157</v>
      </c>
      <c r="G230" s="484"/>
    </row>
    <row r="231" spans="1:53" x14ac:dyDescent="0.2">
      <c r="G231" s="484"/>
      <c r="H231" s="598"/>
      <c r="I231" s="598"/>
      <c r="J231" s="791"/>
      <c r="K231" s="598"/>
    </row>
    <row r="232" spans="1:53" x14ac:dyDescent="0.2">
      <c r="A232" s="491" t="s">
        <v>206</v>
      </c>
      <c r="B232" s="568">
        <f>SUMIF(M:M,A232,L:L)</f>
        <v>1020855</v>
      </c>
      <c r="C232" s="481" t="s">
        <v>654</v>
      </c>
      <c r="G232" s="568">
        <f>SUMIF($M:$M,$A232,G:G)</f>
        <v>378693</v>
      </c>
      <c r="H232" s="568">
        <f>SUMIF($M:$M,$A232,H:H)</f>
        <v>316416</v>
      </c>
      <c r="I232" s="568">
        <f>SUMIF($M:$M,$A232,I:I)</f>
        <v>325746</v>
      </c>
      <c r="J232" s="791"/>
      <c r="K232" s="598"/>
      <c r="O232" s="568">
        <f>SUMIF($M:$M,$A232,O:O)</f>
        <v>3714176</v>
      </c>
      <c r="U232" s="568">
        <f>SUMIF($M:$M,$A232,U:U)</f>
        <v>329237.56592357252</v>
      </c>
      <c r="AA232" s="568">
        <f>SUMIF($M:$M,$A232,AA:AA)</f>
        <v>56485.856053846153</v>
      </c>
      <c r="AQ232" s="568">
        <f>SUMIF($M:$M,$A232,AQ:AQ)</f>
        <v>53231.486246153836</v>
      </c>
      <c r="AR232" s="568">
        <f>SUMIF($M:$M,$A232,AR:AR)</f>
        <v>0</v>
      </c>
      <c r="AS232" s="568">
        <f>SUMIF($M:$M,$A232,AS:AS)</f>
        <v>4153130.908223574</v>
      </c>
      <c r="AV232" s="568">
        <f>SUMIF($M:$M,$A232,AV:AV)</f>
        <v>0</v>
      </c>
      <c r="AX232" s="568">
        <f>SUMIF($M:$M,$A232,AX:AX)</f>
        <v>4153130.908223574</v>
      </c>
    </row>
    <row r="233" spans="1:53" x14ac:dyDescent="0.2">
      <c r="A233" s="491" t="s">
        <v>203</v>
      </c>
      <c r="B233" s="568">
        <f>SUMIF(M:M,A233,L:L)</f>
        <v>276997</v>
      </c>
      <c r="C233" s="481" t="s">
        <v>654</v>
      </c>
      <c r="G233" s="568">
        <f t="shared" ref="G233:G235" si="46">SUMIF($M:$M,$A233,G:G)</f>
        <v>100621</v>
      </c>
      <c r="H233" s="568">
        <f t="shared" ref="H233:H235" si="47">SUMIF($M:$M,$A233,H:H)</f>
        <v>86016</v>
      </c>
      <c r="I233" s="568">
        <f t="shared" ref="I233:I235" si="48">SUMIF($M:$M,$A233,I:I)</f>
        <v>90360</v>
      </c>
      <c r="J233" s="791"/>
      <c r="K233" s="598"/>
      <c r="O233" s="568">
        <f t="shared" ref="O233:O235" si="49">SUMIF($M:$M,$A233,O:O)</f>
        <v>1550961</v>
      </c>
      <c r="U233" s="568">
        <f t="shared" ref="U233:U235" si="50">SUMIF($M:$M,$A233,U:U)</f>
        <v>115038.39347368421</v>
      </c>
      <c r="AA233" s="568">
        <f t="shared" ref="AA233:AA235" si="51">SUMIF($M:$M,$A233,AA:AA)</f>
        <v>12204.700199999999</v>
      </c>
      <c r="AQ233" s="568">
        <f t="shared" ref="AQ233:AS235" si="52">SUMIF($M:$M,$A233,AQ:AQ)</f>
        <v>13999.536</v>
      </c>
      <c r="AR233" s="568">
        <f t="shared" si="52"/>
        <v>0</v>
      </c>
      <c r="AS233" s="568">
        <f t="shared" si="52"/>
        <v>2812507.7859236845</v>
      </c>
      <c r="AV233" s="568">
        <f t="shared" ref="AV233:AV235" si="53">SUMIF($M:$M,$A233,AV:AV)</f>
        <v>0</v>
      </c>
      <c r="AX233" s="568">
        <f t="shared" ref="AX233:AX235" si="54">SUMIF($M:$M,$A233,AX:AX)</f>
        <v>2860400.3459236845</v>
      </c>
    </row>
    <row r="234" spans="1:53" x14ac:dyDescent="0.2">
      <c r="A234" s="491" t="s">
        <v>266</v>
      </c>
      <c r="B234" s="568">
        <f>SUMIF(M:M,A234,L:L)</f>
        <v>376319</v>
      </c>
      <c r="C234" s="481" t="s">
        <v>654</v>
      </c>
      <c r="G234" s="568">
        <f t="shared" si="46"/>
        <v>133911</v>
      </c>
      <c r="H234" s="568">
        <f t="shared" si="47"/>
        <v>116566</v>
      </c>
      <c r="I234" s="568">
        <f t="shared" si="48"/>
        <v>125842</v>
      </c>
      <c r="J234" s="791"/>
      <c r="K234" s="598"/>
      <c r="O234" s="568">
        <f t="shared" si="49"/>
        <v>1385040</v>
      </c>
      <c r="U234" s="568">
        <f t="shared" si="50"/>
        <v>46036.347145705266</v>
      </c>
      <c r="AA234" s="568">
        <f t="shared" si="51"/>
        <v>9869.4285600000003</v>
      </c>
      <c r="AQ234" s="568">
        <f t="shared" si="52"/>
        <v>6641.0247999999992</v>
      </c>
      <c r="AR234" s="568">
        <f t="shared" si="52"/>
        <v>0</v>
      </c>
      <c r="AS234" s="568">
        <f t="shared" si="52"/>
        <v>1447586.8005057052</v>
      </c>
      <c r="AV234" s="568">
        <f t="shared" si="53"/>
        <v>0</v>
      </c>
      <c r="AX234" s="568">
        <f t="shared" si="54"/>
        <v>1447586.8005057052</v>
      </c>
    </row>
    <row r="235" spans="1:53" x14ac:dyDescent="0.2">
      <c r="A235" s="491" t="s">
        <v>251</v>
      </c>
      <c r="B235" s="568">
        <f>SUMIF(M:M,A235,L:L)</f>
        <v>828640</v>
      </c>
      <c r="C235" s="481" t="s">
        <v>654</v>
      </c>
      <c r="G235" s="568">
        <f t="shared" si="46"/>
        <v>317610</v>
      </c>
      <c r="H235" s="568">
        <f t="shared" si="47"/>
        <v>246964</v>
      </c>
      <c r="I235" s="568">
        <f t="shared" si="48"/>
        <v>264066</v>
      </c>
      <c r="J235" s="791"/>
      <c r="K235" s="598"/>
      <c r="O235" s="568">
        <f t="shared" si="49"/>
        <v>3049804</v>
      </c>
      <c r="U235" s="568">
        <f t="shared" si="50"/>
        <v>162231.61694021046</v>
      </c>
      <c r="AA235" s="568">
        <f t="shared" si="51"/>
        <v>26818.639919999998</v>
      </c>
      <c r="AQ235" s="568">
        <f t="shared" si="52"/>
        <v>15937.400800000001</v>
      </c>
      <c r="AR235" s="568">
        <f t="shared" si="52"/>
        <v>0</v>
      </c>
      <c r="AS235" s="568">
        <f t="shared" si="52"/>
        <v>3254791.6576602105</v>
      </c>
      <c r="AV235" s="568">
        <f t="shared" si="53"/>
        <v>0</v>
      </c>
      <c r="AX235" s="568">
        <f t="shared" si="54"/>
        <v>3254791.6576602105</v>
      </c>
    </row>
    <row r="236" spans="1:53" x14ac:dyDescent="0.2">
      <c r="B236" s="790">
        <f>SUM(B232:B235)</f>
        <v>2502811</v>
      </c>
      <c r="C236" s="481" t="s">
        <v>654</v>
      </c>
      <c r="G236" s="790">
        <f>SUM(G232:G235)</f>
        <v>930835</v>
      </c>
      <c r="H236" s="790">
        <f>SUM(H232:H235)</f>
        <v>765962</v>
      </c>
      <c r="I236" s="790">
        <f>SUM(I232:I235)</f>
        <v>806014</v>
      </c>
      <c r="J236" s="791"/>
      <c r="K236" s="598"/>
      <c r="O236" s="790">
        <f>SUM(O232:O235)</f>
        <v>9699981</v>
      </c>
      <c r="U236" s="790">
        <f>SUM(U232:U235)</f>
        <v>652543.92348317243</v>
      </c>
      <c r="AA236" s="790">
        <f>SUM(AA232:AA235)</f>
        <v>105378.62473384615</v>
      </c>
      <c r="AQ236" s="790">
        <f>SUM(AQ232:AQ235)</f>
        <v>89809.447846153838</v>
      </c>
      <c r="AR236" s="790">
        <f>SUM(AR232:AR235)</f>
        <v>0</v>
      </c>
      <c r="AS236" s="790">
        <f>SUM(AS232:AS235)</f>
        <v>11668017.152313175</v>
      </c>
      <c r="AV236" s="790">
        <f>SUM(AV232:AV235)</f>
        <v>0</v>
      </c>
      <c r="AW236" s="488" t="s">
        <v>935</v>
      </c>
      <c r="AX236" s="790">
        <f>SUM(AX232:AX235)</f>
        <v>11715909.712313173</v>
      </c>
    </row>
    <row r="237" spans="1:53" x14ac:dyDescent="0.2">
      <c r="AW237" s="488" t="s">
        <v>695</v>
      </c>
      <c r="AX237" s="488">
        <v>80000</v>
      </c>
    </row>
    <row r="238" spans="1:53" x14ac:dyDescent="0.2">
      <c r="AW238" s="488" t="s">
        <v>149</v>
      </c>
      <c r="AX238" s="488">
        <f>AX236+AX237</f>
        <v>11795909.712313173</v>
      </c>
    </row>
    <row r="242" spans="2:50" x14ac:dyDescent="0.2">
      <c r="C242" s="481">
        <v>1</v>
      </c>
      <c r="D242" s="480">
        <v>2</v>
      </c>
      <c r="E242" s="481">
        <v>3</v>
      </c>
      <c r="F242" s="480">
        <v>4</v>
      </c>
      <c r="G242" s="481">
        <v>5</v>
      </c>
      <c r="H242" s="480">
        <v>6</v>
      </c>
      <c r="I242" s="481">
        <v>7</v>
      </c>
      <c r="J242" s="480">
        <v>8</v>
      </c>
      <c r="K242" s="481">
        <v>9</v>
      </c>
      <c r="L242" s="480">
        <v>10</v>
      </c>
      <c r="M242" s="481">
        <v>11</v>
      </c>
      <c r="N242" s="480">
        <v>12</v>
      </c>
      <c r="O242" s="481">
        <v>13</v>
      </c>
      <c r="P242" s="480">
        <v>14</v>
      </c>
      <c r="Q242" s="481">
        <v>15</v>
      </c>
      <c r="R242" s="480">
        <v>16</v>
      </c>
      <c r="S242" s="481">
        <v>17</v>
      </c>
      <c r="T242" s="480">
        <v>18</v>
      </c>
      <c r="U242" s="481">
        <v>19</v>
      </c>
      <c r="V242" s="480">
        <v>20</v>
      </c>
      <c r="W242" s="481">
        <v>21</v>
      </c>
      <c r="X242" s="480">
        <v>22</v>
      </c>
      <c r="Y242" s="481">
        <v>23</v>
      </c>
      <c r="Z242" s="480">
        <v>24</v>
      </c>
      <c r="AA242" s="481">
        <v>25</v>
      </c>
      <c r="AB242" s="480">
        <v>26</v>
      </c>
      <c r="AC242" s="481">
        <v>27</v>
      </c>
      <c r="AD242" s="480">
        <v>28</v>
      </c>
      <c r="AE242" s="481">
        <v>29</v>
      </c>
      <c r="AF242" s="480">
        <v>30</v>
      </c>
      <c r="AG242" s="481">
        <v>31</v>
      </c>
      <c r="AH242" s="480">
        <v>32</v>
      </c>
      <c r="AI242" s="481">
        <v>33</v>
      </c>
      <c r="AJ242" s="480">
        <v>34</v>
      </c>
      <c r="AK242" s="481">
        <v>35</v>
      </c>
      <c r="AL242" s="480">
        <v>36</v>
      </c>
      <c r="AM242" s="481">
        <v>37</v>
      </c>
      <c r="AN242" s="480">
        <v>38</v>
      </c>
      <c r="AO242" s="481">
        <v>39</v>
      </c>
      <c r="AP242" s="480">
        <v>40</v>
      </c>
      <c r="AQ242" s="481">
        <v>41</v>
      </c>
      <c r="AR242" s="480">
        <v>42</v>
      </c>
      <c r="AS242" s="481">
        <v>43</v>
      </c>
      <c r="AT242" s="480">
        <v>44</v>
      </c>
      <c r="AU242" s="481">
        <v>45</v>
      </c>
      <c r="AV242" s="480">
        <v>46</v>
      </c>
      <c r="AW242" s="481">
        <v>47</v>
      </c>
      <c r="AX242" s="480">
        <v>48</v>
      </c>
    </row>
    <row r="255" spans="2:50" x14ac:dyDescent="0.2">
      <c r="B255" s="79" t="s">
        <v>249</v>
      </c>
      <c r="C255" s="79">
        <v>206189</v>
      </c>
    </row>
    <row r="256" spans="2:50" x14ac:dyDescent="0.2">
      <c r="B256" s="1158" t="s">
        <v>10</v>
      </c>
      <c r="C256" s="94">
        <v>2012</v>
      </c>
    </row>
    <row r="257" spans="2:3" x14ac:dyDescent="0.2">
      <c r="B257" s="1158" t="s">
        <v>73</v>
      </c>
      <c r="C257" s="94">
        <v>5414</v>
      </c>
    </row>
    <row r="258" spans="2:3" x14ac:dyDescent="0.2">
      <c r="B258" s="1158" t="s">
        <v>912</v>
      </c>
      <c r="C258" s="94">
        <v>4000</v>
      </c>
    </row>
    <row r="259" spans="2:3" x14ac:dyDescent="0.2">
      <c r="B259" s="79" t="s">
        <v>11</v>
      </c>
      <c r="C259" s="79">
        <v>2443</v>
      </c>
    </row>
    <row r="260" spans="2:3" x14ac:dyDescent="0.2">
      <c r="B260" s="1158" t="s">
        <v>94</v>
      </c>
      <c r="C260" s="94">
        <v>2442</v>
      </c>
    </row>
    <row r="261" spans="2:3" x14ac:dyDescent="0.2">
      <c r="B261" s="80" t="s">
        <v>252</v>
      </c>
      <c r="C261" s="80" t="s">
        <v>253</v>
      </c>
    </row>
    <row r="262" spans="2:3" x14ac:dyDescent="0.2">
      <c r="B262" s="79" t="s">
        <v>13</v>
      </c>
      <c r="C262" s="79">
        <v>2629</v>
      </c>
    </row>
    <row r="263" spans="2:3" x14ac:dyDescent="0.2">
      <c r="B263" s="1158" t="s">
        <v>14</v>
      </c>
      <c r="C263" s="94">
        <v>2509</v>
      </c>
    </row>
    <row r="264" spans="2:3" x14ac:dyDescent="0.2">
      <c r="B264" s="79" t="s">
        <v>2</v>
      </c>
      <c r="C264" s="79">
        <v>1014</v>
      </c>
    </row>
    <row r="265" spans="2:3" x14ac:dyDescent="0.2">
      <c r="B265" s="1158" t="s">
        <v>15</v>
      </c>
      <c r="C265" s="94">
        <v>2005</v>
      </c>
    </row>
    <row r="266" spans="2:3" x14ac:dyDescent="0.2">
      <c r="B266" s="79" t="s">
        <v>16</v>
      </c>
      <c r="C266" s="79">
        <v>2464</v>
      </c>
    </row>
    <row r="267" spans="2:3" x14ac:dyDescent="0.2">
      <c r="B267" s="661" t="s">
        <v>763</v>
      </c>
      <c r="C267" s="697" t="s">
        <v>765</v>
      </c>
    </row>
    <row r="268" spans="2:3" x14ac:dyDescent="0.2">
      <c r="B268" s="79" t="s">
        <v>17</v>
      </c>
      <c r="C268" s="79">
        <v>2004</v>
      </c>
    </row>
    <row r="269" spans="2:3" x14ac:dyDescent="0.2">
      <c r="B269" s="79" t="s">
        <v>18</v>
      </c>
      <c r="C269" s="79">
        <v>2405</v>
      </c>
    </row>
    <row r="270" spans="2:3" x14ac:dyDescent="0.2">
      <c r="B270" s="79" t="s">
        <v>254</v>
      </c>
      <c r="C270" s="79" t="s">
        <v>256</v>
      </c>
    </row>
    <row r="271" spans="2:3" ht="15" x14ac:dyDescent="0.25">
      <c r="B271" s="1160" t="s">
        <v>261</v>
      </c>
      <c r="C271" s="1162" t="s">
        <v>766</v>
      </c>
    </row>
    <row r="272" spans="2:3" x14ac:dyDescent="0.2">
      <c r="B272" s="1163" t="s">
        <v>257</v>
      </c>
      <c r="C272" s="1164" t="s">
        <v>258</v>
      </c>
    </row>
    <row r="273" spans="2:3" x14ac:dyDescent="0.2">
      <c r="B273" s="1160" t="s">
        <v>259</v>
      </c>
      <c r="C273" s="1165" t="s">
        <v>260</v>
      </c>
    </row>
    <row r="274" spans="2:3" x14ac:dyDescent="0.2">
      <c r="B274" s="79" t="s">
        <v>19</v>
      </c>
      <c r="C274" s="79">
        <v>2011</v>
      </c>
    </row>
    <row r="275" spans="2:3" x14ac:dyDescent="0.2">
      <c r="B275" s="80" t="s">
        <v>262</v>
      </c>
      <c r="C275" s="80" t="s">
        <v>263</v>
      </c>
    </row>
    <row r="276" spans="2:3" x14ac:dyDescent="0.2">
      <c r="B276" s="79" t="s">
        <v>20</v>
      </c>
      <c r="C276" s="79">
        <v>5201</v>
      </c>
    </row>
    <row r="277" spans="2:3" x14ac:dyDescent="0.2">
      <c r="B277" s="79" t="s">
        <v>264</v>
      </c>
      <c r="C277" s="79">
        <v>206124</v>
      </c>
    </row>
    <row r="278" spans="2:3" x14ac:dyDescent="0.2">
      <c r="B278" s="79" t="s">
        <v>21</v>
      </c>
      <c r="C278" s="79">
        <v>2433</v>
      </c>
    </row>
    <row r="279" spans="2:3" x14ac:dyDescent="0.2">
      <c r="B279" s="1158" t="s">
        <v>22</v>
      </c>
      <c r="C279" s="94">
        <v>2432</v>
      </c>
    </row>
    <row r="280" spans="2:3" x14ac:dyDescent="0.2">
      <c r="B280" s="79" t="s">
        <v>267</v>
      </c>
      <c r="C280" s="79" t="s">
        <v>269</v>
      </c>
    </row>
    <row r="281" spans="2:3" x14ac:dyDescent="0.2">
      <c r="B281" s="79" t="s">
        <v>199</v>
      </c>
      <c r="C281" s="79">
        <v>2447</v>
      </c>
    </row>
    <row r="282" spans="2:3" x14ac:dyDescent="0.2">
      <c r="B282" s="79" t="s">
        <v>23</v>
      </c>
      <c r="C282" s="79">
        <v>2512</v>
      </c>
    </row>
    <row r="283" spans="2:3" x14ac:dyDescent="0.2">
      <c r="B283" s="79" t="s">
        <v>270</v>
      </c>
      <c r="C283" s="79">
        <v>206126</v>
      </c>
    </row>
    <row r="284" spans="2:3" x14ac:dyDescent="0.2">
      <c r="B284" s="79" t="s">
        <v>272</v>
      </c>
      <c r="C284" s="79">
        <v>206111</v>
      </c>
    </row>
    <row r="285" spans="2:3" x14ac:dyDescent="0.2">
      <c r="B285" s="79" t="s">
        <v>274</v>
      </c>
      <c r="C285" s="79">
        <v>206091</v>
      </c>
    </row>
    <row r="286" spans="2:3" x14ac:dyDescent="0.2">
      <c r="B286" s="79" t="s">
        <v>24</v>
      </c>
      <c r="C286" s="79">
        <v>2456</v>
      </c>
    </row>
    <row r="287" spans="2:3" x14ac:dyDescent="0.2">
      <c r="B287" s="79" t="s">
        <v>3</v>
      </c>
      <c r="C287" s="79">
        <v>1017</v>
      </c>
    </row>
    <row r="288" spans="2:3" x14ac:dyDescent="0.2">
      <c r="B288" s="79" t="s">
        <v>25</v>
      </c>
      <c r="C288" s="79">
        <v>2449</v>
      </c>
    </row>
    <row r="289" spans="2:3" x14ac:dyDescent="0.2">
      <c r="B289" s="1158" t="s">
        <v>26</v>
      </c>
      <c r="C289" s="79">
        <v>2448</v>
      </c>
    </row>
    <row r="290" spans="2:3" x14ac:dyDescent="0.2">
      <c r="B290" s="79" t="s">
        <v>4</v>
      </c>
      <c r="C290" s="79">
        <v>1006</v>
      </c>
    </row>
    <row r="291" spans="2:3" x14ac:dyDescent="0.2">
      <c r="B291" s="79" t="s">
        <v>27</v>
      </c>
      <c r="C291" s="79">
        <v>2467</v>
      </c>
    </row>
    <row r="292" spans="2:3" x14ac:dyDescent="0.2">
      <c r="B292" s="1158" t="s">
        <v>75</v>
      </c>
      <c r="C292" s="94">
        <v>5402</v>
      </c>
    </row>
    <row r="293" spans="2:3" x14ac:dyDescent="0.2">
      <c r="B293" s="1158" t="s">
        <v>28</v>
      </c>
      <c r="C293" s="94">
        <v>2455</v>
      </c>
    </row>
    <row r="294" spans="2:3" x14ac:dyDescent="0.2">
      <c r="B294" s="1158" t="s">
        <v>29</v>
      </c>
      <c r="C294" s="94">
        <v>5203</v>
      </c>
    </row>
    <row r="295" spans="2:3" x14ac:dyDescent="0.2">
      <c r="B295" s="107" t="s">
        <v>30</v>
      </c>
      <c r="C295" s="79">
        <v>2451</v>
      </c>
    </row>
    <row r="296" spans="2:3" x14ac:dyDescent="0.2">
      <c r="B296" s="80" t="s">
        <v>276</v>
      </c>
      <c r="C296" s="80" t="s">
        <v>277</v>
      </c>
    </row>
    <row r="297" spans="2:3" x14ac:dyDescent="0.2">
      <c r="B297" s="79" t="s">
        <v>278</v>
      </c>
      <c r="C297" s="79">
        <v>206128</v>
      </c>
    </row>
    <row r="298" spans="2:3" x14ac:dyDescent="0.2">
      <c r="B298" s="1158" t="s">
        <v>452</v>
      </c>
      <c r="C298" s="94">
        <v>4002</v>
      </c>
    </row>
    <row r="299" spans="2:3" x14ac:dyDescent="0.2">
      <c r="B299" s="456" t="s">
        <v>455</v>
      </c>
      <c r="C299" s="79">
        <v>2430</v>
      </c>
    </row>
    <row r="300" spans="2:3" x14ac:dyDescent="0.2">
      <c r="B300" s="1167" t="s">
        <v>768</v>
      </c>
      <c r="C300" s="1169" t="s">
        <v>769</v>
      </c>
    </row>
    <row r="301" spans="2:3" x14ac:dyDescent="0.2">
      <c r="B301" s="1158" t="s">
        <v>68</v>
      </c>
      <c r="C301" s="94">
        <v>4608</v>
      </c>
    </row>
    <row r="302" spans="2:3" x14ac:dyDescent="0.2">
      <c r="B302" s="1158" t="s">
        <v>31</v>
      </c>
      <c r="C302" s="94">
        <v>2409</v>
      </c>
    </row>
    <row r="303" spans="2:3" ht="51" x14ac:dyDescent="0.2">
      <c r="B303" s="1170" t="s">
        <v>281</v>
      </c>
      <c r="C303" s="1168" t="s">
        <v>282</v>
      </c>
    </row>
    <row r="304" spans="2:3" x14ac:dyDescent="0.2">
      <c r="B304" s="1171" t="s">
        <v>1401</v>
      </c>
      <c r="C304" s="1173" t="s">
        <v>771</v>
      </c>
    </row>
    <row r="305" spans="2:3" x14ac:dyDescent="0.2">
      <c r="B305" s="1174" t="s">
        <v>539</v>
      </c>
      <c r="C305" s="96">
        <v>205921</v>
      </c>
    </row>
    <row r="306" spans="2:3" x14ac:dyDescent="0.2">
      <c r="B306" s="1171" t="s">
        <v>1372</v>
      </c>
      <c r="C306" s="1154" t="s">
        <v>776</v>
      </c>
    </row>
    <row r="307" spans="2:3" x14ac:dyDescent="0.2">
      <c r="B307" s="1174" t="s">
        <v>538</v>
      </c>
      <c r="C307" s="96">
        <v>205999</v>
      </c>
    </row>
    <row r="308" spans="2:3" x14ac:dyDescent="0.2">
      <c r="B308" s="96" t="s">
        <v>537</v>
      </c>
      <c r="C308" s="95" t="s">
        <v>283</v>
      </c>
    </row>
    <row r="309" spans="2:3" x14ac:dyDescent="0.2">
      <c r="B309" s="1171" t="s">
        <v>1373</v>
      </c>
      <c r="C309" s="1153">
        <v>206065</v>
      </c>
    </row>
    <row r="310" spans="2:3" x14ac:dyDescent="0.2">
      <c r="B310" s="1175" t="s">
        <v>1375</v>
      </c>
      <c r="C310" s="1154" t="s">
        <v>787</v>
      </c>
    </row>
    <row r="311" spans="2:3" x14ac:dyDescent="0.2">
      <c r="B311" s="456" t="s">
        <v>589</v>
      </c>
      <c r="C311" s="1176" t="s">
        <v>288</v>
      </c>
    </row>
    <row r="312" spans="2:3" x14ac:dyDescent="0.2">
      <c r="B312" s="1177" t="s">
        <v>540</v>
      </c>
      <c r="C312" s="96">
        <v>205922</v>
      </c>
    </row>
    <row r="313" spans="2:3" x14ac:dyDescent="0.2">
      <c r="B313" s="456" t="s">
        <v>587</v>
      </c>
      <c r="C313" s="1154" t="s">
        <v>784</v>
      </c>
    </row>
    <row r="314" spans="2:3" x14ac:dyDescent="0.2">
      <c r="B314" s="1171" t="s">
        <v>1374</v>
      </c>
      <c r="C314" s="1154" t="s">
        <v>781</v>
      </c>
    </row>
    <row r="315" spans="2:3" x14ac:dyDescent="0.2">
      <c r="B315" s="1171" t="s">
        <v>1376</v>
      </c>
      <c r="C315" s="1178">
        <v>205919</v>
      </c>
    </row>
    <row r="316" spans="2:3" x14ac:dyDescent="0.2">
      <c r="B316" s="96" t="s">
        <v>541</v>
      </c>
      <c r="C316" s="95" t="s">
        <v>287</v>
      </c>
    </row>
    <row r="317" spans="2:3" x14ac:dyDescent="0.2">
      <c r="B317" s="1171" t="s">
        <v>1377</v>
      </c>
      <c r="C317" s="1179" t="s">
        <v>791</v>
      </c>
    </row>
    <row r="318" spans="2:3" x14ac:dyDescent="0.2">
      <c r="B318" s="1171" t="s">
        <v>1378</v>
      </c>
      <c r="C318" s="1169" t="s">
        <v>793</v>
      </c>
    </row>
    <row r="319" spans="2:3" x14ac:dyDescent="0.2">
      <c r="B319" s="1180" t="s">
        <v>1380</v>
      </c>
      <c r="C319" s="1154" t="s">
        <v>796</v>
      </c>
    </row>
    <row r="320" spans="2:3" x14ac:dyDescent="0.2">
      <c r="B320" s="1181" t="s">
        <v>1379</v>
      </c>
      <c r="C320" s="697">
        <v>205849</v>
      </c>
    </row>
    <row r="321" spans="2:3" x14ac:dyDescent="0.2">
      <c r="B321" s="456" t="s">
        <v>594</v>
      </c>
      <c r="C321" s="1176" t="s">
        <v>284</v>
      </c>
    </row>
    <row r="322" spans="2:3" x14ac:dyDescent="0.2">
      <c r="B322" s="1182" t="s">
        <v>1381</v>
      </c>
      <c r="C322" s="1154" t="s">
        <v>798</v>
      </c>
    </row>
    <row r="323" spans="2:3" x14ac:dyDescent="0.2">
      <c r="B323" s="1183" t="s">
        <v>1385</v>
      </c>
      <c r="C323" s="1184">
        <v>205922</v>
      </c>
    </row>
    <row r="324" spans="2:3" x14ac:dyDescent="0.2">
      <c r="B324" s="1185" t="s">
        <v>1384</v>
      </c>
      <c r="C324" s="1179">
        <v>205881</v>
      </c>
    </row>
    <row r="325" spans="2:3" x14ac:dyDescent="0.2">
      <c r="B325" s="1186" t="s">
        <v>1382</v>
      </c>
      <c r="C325" s="1187" t="s">
        <v>801</v>
      </c>
    </row>
    <row r="326" spans="2:3" x14ac:dyDescent="0.2">
      <c r="B326" s="1174" t="s">
        <v>542</v>
      </c>
      <c r="C326" s="96" t="s">
        <v>289</v>
      </c>
    </row>
    <row r="327" spans="2:3" x14ac:dyDescent="0.2">
      <c r="B327" s="1171" t="s">
        <v>1383</v>
      </c>
      <c r="C327" s="1179" t="s">
        <v>806</v>
      </c>
    </row>
    <row r="328" spans="2:3" x14ac:dyDescent="0.2">
      <c r="B328" s="1185" t="s">
        <v>807</v>
      </c>
      <c r="C328" s="1179" t="s">
        <v>808</v>
      </c>
    </row>
    <row r="329" spans="2:3" x14ac:dyDescent="0.2">
      <c r="B329" s="1185" t="s">
        <v>1386</v>
      </c>
      <c r="C329" s="1189" t="s">
        <v>811</v>
      </c>
    </row>
    <row r="330" spans="2:3" x14ac:dyDescent="0.2">
      <c r="B330" s="1181" t="s">
        <v>543</v>
      </c>
      <c r="C330" s="96">
        <v>2</v>
      </c>
    </row>
    <row r="331" spans="2:3" x14ac:dyDescent="0.2">
      <c r="B331" s="1192" t="s">
        <v>1387</v>
      </c>
      <c r="C331" s="1150" t="s">
        <v>668</v>
      </c>
    </row>
    <row r="332" spans="2:3" x14ac:dyDescent="0.2">
      <c r="B332" s="693" t="s">
        <v>1388</v>
      </c>
      <c r="C332" s="1179" t="s">
        <v>686</v>
      </c>
    </row>
    <row r="333" spans="2:3" x14ac:dyDescent="0.2">
      <c r="B333" s="96" t="s">
        <v>544</v>
      </c>
      <c r="C333" s="1184">
        <v>205956</v>
      </c>
    </row>
    <row r="334" spans="2:3" x14ac:dyDescent="0.2">
      <c r="B334" s="702" t="s">
        <v>1389</v>
      </c>
      <c r="C334" s="1169">
        <v>260849</v>
      </c>
    </row>
    <row r="335" spans="2:3" x14ac:dyDescent="0.2">
      <c r="B335" s="693" t="s">
        <v>1390</v>
      </c>
      <c r="C335" s="1169" t="s">
        <v>818</v>
      </c>
    </row>
    <row r="336" spans="2:3" x14ac:dyDescent="0.2">
      <c r="B336" s="1193" t="s">
        <v>1391</v>
      </c>
      <c r="C336" s="1165" t="s">
        <v>291</v>
      </c>
    </row>
    <row r="337" spans="2:3" x14ac:dyDescent="0.2">
      <c r="B337" s="1145" t="s">
        <v>1392</v>
      </c>
      <c r="C337" s="1154" t="s">
        <v>821</v>
      </c>
    </row>
    <row r="338" spans="2:3" x14ac:dyDescent="0.2">
      <c r="B338" s="1142" t="s">
        <v>1394</v>
      </c>
      <c r="C338" s="1154" t="s">
        <v>825</v>
      </c>
    </row>
    <row r="339" spans="2:3" x14ac:dyDescent="0.2">
      <c r="B339" s="1142" t="s">
        <v>1393</v>
      </c>
      <c r="C339" s="1189" t="s">
        <v>823</v>
      </c>
    </row>
    <row r="340" spans="2:3" x14ac:dyDescent="0.2">
      <c r="B340" s="583" t="s">
        <v>1396</v>
      </c>
      <c r="C340" s="1154" t="s">
        <v>830</v>
      </c>
    </row>
    <row r="341" spans="2:3" x14ac:dyDescent="0.2">
      <c r="B341" s="1143" t="s">
        <v>1395</v>
      </c>
      <c r="C341" s="1154" t="s">
        <v>827</v>
      </c>
    </row>
    <row r="342" spans="2:3" x14ac:dyDescent="0.2">
      <c r="B342" s="1181" t="s">
        <v>591</v>
      </c>
      <c r="C342" s="95" t="s">
        <v>293</v>
      </c>
    </row>
    <row r="343" spans="2:3" x14ac:dyDescent="0.2">
      <c r="B343" s="1142" t="s">
        <v>1402</v>
      </c>
      <c r="C343" s="697" t="s">
        <v>833</v>
      </c>
    </row>
    <row r="344" spans="2:3" x14ac:dyDescent="0.2">
      <c r="B344" s="1142" t="s">
        <v>1403</v>
      </c>
      <c r="C344" s="1154" t="s">
        <v>835</v>
      </c>
    </row>
    <row r="345" spans="2:3" x14ac:dyDescent="0.2">
      <c r="B345" s="1174" t="s">
        <v>547</v>
      </c>
      <c r="C345" s="95" t="s">
        <v>295</v>
      </c>
    </row>
    <row r="346" spans="2:3" x14ac:dyDescent="0.2">
      <c r="B346" s="1148" t="s">
        <v>1397</v>
      </c>
      <c r="C346" s="1154">
        <v>206031</v>
      </c>
    </row>
    <row r="347" spans="2:3" x14ac:dyDescent="0.2">
      <c r="B347" s="1174" t="s">
        <v>546</v>
      </c>
      <c r="C347" s="95" t="s">
        <v>296</v>
      </c>
    </row>
    <row r="348" spans="2:3" x14ac:dyDescent="0.2">
      <c r="B348" s="96" t="s">
        <v>545</v>
      </c>
      <c r="C348" s="95" t="s">
        <v>294</v>
      </c>
    </row>
    <row r="349" spans="2:3" x14ac:dyDescent="0.2">
      <c r="B349" s="1143" t="s">
        <v>1398</v>
      </c>
      <c r="C349" s="1154" t="s">
        <v>840</v>
      </c>
    </row>
    <row r="350" spans="2:3" x14ac:dyDescent="0.2">
      <c r="B350" s="96" t="s">
        <v>1371</v>
      </c>
      <c r="C350" s="95" t="s">
        <v>298</v>
      </c>
    </row>
    <row r="351" spans="2:3" x14ac:dyDescent="0.2">
      <c r="B351" s="1143" t="s">
        <v>1407</v>
      </c>
      <c r="C351" s="1179" t="s">
        <v>844</v>
      </c>
    </row>
    <row r="352" spans="2:3" x14ac:dyDescent="0.2">
      <c r="B352" s="1181" t="s">
        <v>592</v>
      </c>
      <c r="C352" s="1184">
        <v>206043</v>
      </c>
    </row>
    <row r="353" spans="2:3" x14ac:dyDescent="0.2">
      <c r="B353" s="1177" t="s">
        <v>548</v>
      </c>
      <c r="C353" s="95" t="s">
        <v>299</v>
      </c>
    </row>
    <row r="354" spans="2:3" x14ac:dyDescent="0.2">
      <c r="B354" s="1194" t="s">
        <v>590</v>
      </c>
      <c r="C354" s="1195" t="s">
        <v>292</v>
      </c>
    </row>
    <row r="355" spans="2:3" x14ac:dyDescent="0.2">
      <c r="B355" s="1196" t="s">
        <v>593</v>
      </c>
      <c r="C355" s="1197" t="s">
        <v>297</v>
      </c>
    </row>
    <row r="356" spans="2:3" x14ac:dyDescent="0.2">
      <c r="B356" s="1143" t="s">
        <v>1406</v>
      </c>
      <c r="C356" s="1154">
        <v>206067</v>
      </c>
    </row>
    <row r="357" spans="2:3" ht="15" x14ac:dyDescent="0.2">
      <c r="B357" s="1177" t="s">
        <v>549</v>
      </c>
      <c r="C357" s="97" t="s">
        <v>300</v>
      </c>
    </row>
    <row r="358" spans="2:3" x14ac:dyDescent="0.2">
      <c r="B358" s="1190" t="s">
        <v>1400</v>
      </c>
      <c r="C358" s="1191" t="s">
        <v>290</v>
      </c>
    </row>
    <row r="359" spans="2:3" x14ac:dyDescent="0.2">
      <c r="B359" s="1198" t="s">
        <v>550</v>
      </c>
      <c r="C359" s="98" t="s">
        <v>301</v>
      </c>
    </row>
    <row r="360" spans="2:3" x14ac:dyDescent="0.2">
      <c r="B360" s="1147" t="s">
        <v>1404</v>
      </c>
      <c r="C360" s="1209" t="s">
        <v>854</v>
      </c>
    </row>
    <row r="361" spans="2:3" x14ac:dyDescent="0.2">
      <c r="B361" s="456" t="s">
        <v>595</v>
      </c>
      <c r="C361" s="1176" t="s">
        <v>285</v>
      </c>
    </row>
    <row r="362" spans="2:3" x14ac:dyDescent="0.2">
      <c r="B362" s="1147" t="s">
        <v>1405</v>
      </c>
      <c r="C362" s="1209" t="s">
        <v>856</v>
      </c>
    </row>
    <row r="363" spans="2:3" ht="25.5" x14ac:dyDescent="0.2">
      <c r="B363" s="87" t="s">
        <v>302</v>
      </c>
      <c r="C363" s="88" t="s">
        <v>303</v>
      </c>
    </row>
    <row r="364" spans="2:3" x14ac:dyDescent="0.2">
      <c r="B364" s="79" t="s">
        <v>304</v>
      </c>
      <c r="C364" s="79" t="s">
        <v>306</v>
      </c>
    </row>
    <row r="365" spans="2:3" x14ac:dyDescent="0.2">
      <c r="B365" s="1144" t="s">
        <v>858</v>
      </c>
      <c r="C365" s="1169" t="s">
        <v>859</v>
      </c>
    </row>
    <row r="366" spans="2:3" x14ac:dyDescent="0.2">
      <c r="B366" s="1158" t="s">
        <v>111</v>
      </c>
      <c r="C366" s="94">
        <v>4178</v>
      </c>
    </row>
    <row r="367" spans="2:3" x14ac:dyDescent="0.2">
      <c r="B367" s="1158" t="s">
        <v>98</v>
      </c>
      <c r="C367" s="94">
        <v>3158</v>
      </c>
    </row>
    <row r="368" spans="2:3" x14ac:dyDescent="0.2">
      <c r="B368" s="79" t="s">
        <v>32</v>
      </c>
      <c r="C368" s="79">
        <v>2619</v>
      </c>
    </row>
    <row r="369" spans="2:3" x14ac:dyDescent="0.2">
      <c r="B369" s="1141" t="s">
        <v>860</v>
      </c>
      <c r="C369" s="1154" t="s">
        <v>861</v>
      </c>
    </row>
    <row r="370" spans="2:3" x14ac:dyDescent="0.2">
      <c r="B370" s="79" t="s">
        <v>307</v>
      </c>
      <c r="C370" s="80" t="s">
        <v>308</v>
      </c>
    </row>
    <row r="371" spans="2:3" x14ac:dyDescent="0.2">
      <c r="B371" s="79" t="s">
        <v>309</v>
      </c>
      <c r="C371" s="79">
        <v>258417</v>
      </c>
    </row>
    <row r="372" spans="2:3" x14ac:dyDescent="0.2">
      <c r="B372" s="79" t="s">
        <v>311</v>
      </c>
      <c r="C372" s="79" t="s">
        <v>313</v>
      </c>
    </row>
    <row r="373" spans="2:3" x14ac:dyDescent="0.2">
      <c r="B373" s="79" t="s">
        <v>314</v>
      </c>
      <c r="C373" s="79" t="s">
        <v>316</v>
      </c>
    </row>
    <row r="374" spans="2:3" x14ac:dyDescent="0.2">
      <c r="B374" s="79" t="s">
        <v>33</v>
      </c>
      <c r="C374" s="79">
        <v>2518</v>
      </c>
    </row>
    <row r="375" spans="2:3" x14ac:dyDescent="0.2">
      <c r="B375" s="1141" t="s">
        <v>862</v>
      </c>
      <c r="C375" s="1210" t="s">
        <v>863</v>
      </c>
    </row>
    <row r="376" spans="2:3" x14ac:dyDescent="0.2">
      <c r="B376" s="79" t="s">
        <v>317</v>
      </c>
      <c r="C376" s="79">
        <v>206106</v>
      </c>
    </row>
    <row r="377" spans="2:3" x14ac:dyDescent="0.2">
      <c r="B377" s="80" t="s">
        <v>319</v>
      </c>
      <c r="C377" s="80" t="s">
        <v>320</v>
      </c>
    </row>
    <row r="378" spans="2:3" x14ac:dyDescent="0.2">
      <c r="B378" s="1144" t="s">
        <v>864</v>
      </c>
      <c r="C378" s="1169" t="s">
        <v>865</v>
      </c>
    </row>
    <row r="379" spans="2:3" x14ac:dyDescent="0.2">
      <c r="B379" s="1158" t="s">
        <v>34</v>
      </c>
      <c r="C379" s="94">
        <v>2457</v>
      </c>
    </row>
    <row r="380" spans="2:3" x14ac:dyDescent="0.2">
      <c r="B380" s="1158" t="s">
        <v>99</v>
      </c>
      <c r="C380" s="79">
        <v>2010</v>
      </c>
    </row>
    <row r="381" spans="2:3" x14ac:dyDescent="0.2">
      <c r="B381" s="79" t="s">
        <v>35</v>
      </c>
      <c r="C381" s="79">
        <v>2002</v>
      </c>
    </row>
    <row r="382" spans="2:3" x14ac:dyDescent="0.2">
      <c r="B382" s="79" t="s">
        <v>36</v>
      </c>
      <c r="C382" s="79">
        <v>3544</v>
      </c>
    </row>
    <row r="383" spans="2:3" x14ac:dyDescent="0.2">
      <c r="B383" s="79" t="s">
        <v>5</v>
      </c>
      <c r="C383" s="79">
        <v>1008</v>
      </c>
    </row>
    <row r="384" spans="2:3" x14ac:dyDescent="0.2">
      <c r="B384" s="79" t="s">
        <v>321</v>
      </c>
      <c r="C384" s="79" t="s">
        <v>322</v>
      </c>
    </row>
    <row r="385" spans="2:3" x14ac:dyDescent="0.2">
      <c r="B385" s="79" t="s">
        <v>100</v>
      </c>
      <c r="C385" s="79">
        <v>2006</v>
      </c>
    </row>
    <row r="386" spans="2:3" x14ac:dyDescent="0.2">
      <c r="B386" s="80" t="s">
        <v>323</v>
      </c>
      <c r="C386" s="80" t="s">
        <v>324</v>
      </c>
    </row>
    <row r="387" spans="2:3" x14ac:dyDescent="0.2">
      <c r="B387" s="79" t="s">
        <v>325</v>
      </c>
      <c r="C387" s="79">
        <v>206133</v>
      </c>
    </row>
    <row r="388" spans="2:3" x14ac:dyDescent="0.2">
      <c r="B388" s="1149" t="s">
        <v>867</v>
      </c>
      <c r="C388" s="1169" t="s">
        <v>868</v>
      </c>
    </row>
    <row r="389" spans="2:3" x14ac:dyDescent="0.2">
      <c r="B389" s="79" t="s">
        <v>327</v>
      </c>
      <c r="C389" s="79" t="s">
        <v>329</v>
      </c>
    </row>
    <row r="390" spans="2:3" x14ac:dyDescent="0.2">
      <c r="B390" s="79" t="s">
        <v>330</v>
      </c>
      <c r="C390" s="79">
        <v>206134</v>
      </c>
    </row>
    <row r="391" spans="2:3" x14ac:dyDescent="0.2">
      <c r="B391" s="79" t="s">
        <v>334</v>
      </c>
      <c r="C391" s="79" t="s">
        <v>335</v>
      </c>
    </row>
    <row r="392" spans="2:3" x14ac:dyDescent="0.2">
      <c r="B392" s="1199" t="s">
        <v>332</v>
      </c>
      <c r="C392" s="1200" t="s">
        <v>333</v>
      </c>
    </row>
    <row r="393" spans="2:3" x14ac:dyDescent="0.2">
      <c r="B393" s="79" t="s">
        <v>336</v>
      </c>
      <c r="C393" s="79" t="s">
        <v>337</v>
      </c>
    </row>
    <row r="394" spans="2:3" x14ac:dyDescent="0.2">
      <c r="B394" s="79" t="s">
        <v>338</v>
      </c>
      <c r="C394" s="79">
        <v>206109</v>
      </c>
    </row>
    <row r="395" spans="2:3" x14ac:dyDescent="0.2">
      <c r="B395" s="79" t="s">
        <v>37</v>
      </c>
      <c r="C395" s="79">
        <v>2434</v>
      </c>
    </row>
    <row r="396" spans="2:3" x14ac:dyDescent="0.2">
      <c r="B396" s="1161" t="s">
        <v>597</v>
      </c>
      <c r="C396" s="147">
        <v>6905</v>
      </c>
    </row>
    <row r="397" spans="2:3" x14ac:dyDescent="0.2">
      <c r="B397" s="1158" t="s">
        <v>42</v>
      </c>
      <c r="C397" s="94">
        <v>2009</v>
      </c>
    </row>
    <row r="398" spans="2:3" x14ac:dyDescent="0.2">
      <c r="B398" s="1158" t="s">
        <v>38</v>
      </c>
      <c r="C398" s="94">
        <v>2522</v>
      </c>
    </row>
    <row r="399" spans="2:3" x14ac:dyDescent="0.2">
      <c r="B399" s="79" t="s">
        <v>340</v>
      </c>
      <c r="C399" s="79">
        <v>206110</v>
      </c>
    </row>
    <row r="400" spans="2:3" x14ac:dyDescent="0.2">
      <c r="B400" s="79" t="s">
        <v>342</v>
      </c>
      <c r="C400" s="79">
        <v>206135</v>
      </c>
    </row>
    <row r="401" spans="2:3" x14ac:dyDescent="0.2">
      <c r="B401" s="1158" t="s">
        <v>69</v>
      </c>
      <c r="C401" s="94">
        <v>4181</v>
      </c>
    </row>
    <row r="402" spans="2:3" x14ac:dyDescent="0.2">
      <c r="B402" s="79" t="s">
        <v>344</v>
      </c>
      <c r="C402" s="79">
        <v>509195</v>
      </c>
    </row>
    <row r="403" spans="2:3" x14ac:dyDescent="0.2">
      <c r="B403" s="87" t="s">
        <v>346</v>
      </c>
      <c r="C403" s="88" t="s">
        <v>347</v>
      </c>
    </row>
    <row r="404" spans="2:3" x14ac:dyDescent="0.2">
      <c r="B404" s="1201" t="s">
        <v>348</v>
      </c>
      <c r="C404" s="1202" t="s">
        <v>349</v>
      </c>
    </row>
    <row r="405" spans="2:3" x14ac:dyDescent="0.2">
      <c r="B405" s="79" t="s">
        <v>350</v>
      </c>
      <c r="C405" s="79" t="s">
        <v>352</v>
      </c>
    </row>
    <row r="406" spans="2:3" x14ac:dyDescent="0.2">
      <c r="B406" s="79" t="s">
        <v>353</v>
      </c>
      <c r="C406" s="79">
        <v>509199</v>
      </c>
    </row>
    <row r="407" spans="2:3" x14ac:dyDescent="0.2">
      <c r="B407" s="79" t="s">
        <v>355</v>
      </c>
      <c r="C407" s="79">
        <v>509197</v>
      </c>
    </row>
    <row r="408" spans="2:3" x14ac:dyDescent="0.2">
      <c r="B408" s="1151" t="s">
        <v>870</v>
      </c>
      <c r="C408" s="1211">
        <v>479383</v>
      </c>
    </row>
    <row r="409" spans="2:3" ht="25.5" x14ac:dyDescent="0.2">
      <c r="B409" s="1170" t="s">
        <v>360</v>
      </c>
      <c r="C409" s="1168" t="s">
        <v>361</v>
      </c>
    </row>
    <row r="410" spans="2:3" x14ac:dyDescent="0.2">
      <c r="B410" s="1158" t="s">
        <v>70</v>
      </c>
      <c r="C410" s="94">
        <v>4182</v>
      </c>
    </row>
    <row r="411" spans="2:3" x14ac:dyDescent="0.2">
      <c r="B411" s="79" t="s">
        <v>357</v>
      </c>
      <c r="C411" s="79" t="s">
        <v>359</v>
      </c>
    </row>
    <row r="412" spans="2:3" x14ac:dyDescent="0.2">
      <c r="B412" s="79" t="s">
        <v>6</v>
      </c>
      <c r="C412" s="79">
        <v>1005</v>
      </c>
    </row>
    <row r="413" spans="2:3" x14ac:dyDescent="0.2">
      <c r="B413" s="489" t="s">
        <v>871</v>
      </c>
      <c r="C413" s="1179" t="s">
        <v>872</v>
      </c>
    </row>
    <row r="414" spans="2:3" x14ac:dyDescent="0.2">
      <c r="B414" s="1158" t="s">
        <v>39</v>
      </c>
      <c r="C414" s="94">
        <v>2436</v>
      </c>
    </row>
    <row r="415" spans="2:3" x14ac:dyDescent="0.2">
      <c r="B415" s="79" t="s">
        <v>362</v>
      </c>
      <c r="C415" s="79">
        <v>206117</v>
      </c>
    </row>
    <row r="416" spans="2:3" x14ac:dyDescent="0.2">
      <c r="B416" s="79" t="s">
        <v>40</v>
      </c>
      <c r="C416" s="79">
        <v>2452</v>
      </c>
    </row>
    <row r="417" spans="2:3" x14ac:dyDescent="0.2">
      <c r="B417" s="1158" t="s">
        <v>71</v>
      </c>
      <c r="C417" s="94">
        <v>4001</v>
      </c>
    </row>
    <row r="418" spans="2:3" x14ac:dyDescent="0.2">
      <c r="B418" s="79" t="s">
        <v>364</v>
      </c>
      <c r="C418" s="79">
        <v>206141</v>
      </c>
    </row>
    <row r="419" spans="2:3" x14ac:dyDescent="0.2">
      <c r="B419" s="1158" t="s">
        <v>41</v>
      </c>
      <c r="C419" s="94">
        <v>2627</v>
      </c>
    </row>
    <row r="420" spans="2:3" x14ac:dyDescent="0.2">
      <c r="B420" s="1158" t="s">
        <v>112</v>
      </c>
      <c r="C420" s="94">
        <v>5406</v>
      </c>
    </row>
    <row r="421" spans="2:3" x14ac:dyDescent="0.2">
      <c r="B421" s="1158" t="s">
        <v>113</v>
      </c>
      <c r="C421" s="94">
        <v>5407</v>
      </c>
    </row>
    <row r="422" spans="2:3" x14ac:dyDescent="0.2">
      <c r="B422" s="79" t="s">
        <v>366</v>
      </c>
      <c r="C422" s="79" t="s">
        <v>368</v>
      </c>
    </row>
    <row r="423" spans="2:3" x14ac:dyDescent="0.2">
      <c r="B423" s="79" t="s">
        <v>369</v>
      </c>
      <c r="C423" s="79">
        <v>258404</v>
      </c>
    </row>
    <row r="424" spans="2:3" x14ac:dyDescent="0.2">
      <c r="B424" s="1158" t="s">
        <v>101</v>
      </c>
      <c r="C424" s="79">
        <v>2473</v>
      </c>
    </row>
    <row r="425" spans="2:3" x14ac:dyDescent="0.2">
      <c r="B425" s="1158" t="s">
        <v>44</v>
      </c>
      <c r="C425" s="94">
        <v>2471</v>
      </c>
    </row>
    <row r="426" spans="2:3" x14ac:dyDescent="0.2">
      <c r="B426" s="79" t="s">
        <v>371</v>
      </c>
      <c r="C426" s="79">
        <v>258405</v>
      </c>
    </row>
    <row r="427" spans="2:3" x14ac:dyDescent="0.2">
      <c r="B427" s="79" t="s">
        <v>373</v>
      </c>
      <c r="C427" s="79">
        <v>258406</v>
      </c>
    </row>
    <row r="428" spans="2:3" x14ac:dyDescent="0.2">
      <c r="B428" s="79" t="s">
        <v>43</v>
      </c>
      <c r="C428" s="79">
        <v>2420</v>
      </c>
    </row>
    <row r="429" spans="2:3" x14ac:dyDescent="0.2">
      <c r="B429" s="79" t="s">
        <v>375</v>
      </c>
      <c r="C429" s="79">
        <v>206160</v>
      </c>
    </row>
    <row r="430" spans="2:3" x14ac:dyDescent="0.2">
      <c r="B430" s="79" t="s">
        <v>45</v>
      </c>
      <c r="C430" s="79">
        <v>2003</v>
      </c>
    </row>
    <row r="431" spans="2:3" x14ac:dyDescent="0.2">
      <c r="B431" s="1158" t="s">
        <v>46</v>
      </c>
      <c r="C431" s="94">
        <v>2423</v>
      </c>
    </row>
    <row r="432" spans="2:3" x14ac:dyDescent="0.2">
      <c r="B432" s="1158" t="s">
        <v>47</v>
      </c>
      <c r="C432" s="94">
        <v>2424</v>
      </c>
    </row>
    <row r="433" spans="2:3" x14ac:dyDescent="0.2">
      <c r="B433" s="79" t="s">
        <v>377</v>
      </c>
      <c r="C433" s="79" t="s">
        <v>379</v>
      </c>
    </row>
    <row r="434" spans="2:3" x14ac:dyDescent="0.2">
      <c r="B434" s="726" t="s">
        <v>873</v>
      </c>
      <c r="C434" s="1179" t="s">
        <v>874</v>
      </c>
    </row>
    <row r="435" spans="2:3" x14ac:dyDescent="0.2">
      <c r="B435" s="79" t="s">
        <v>382</v>
      </c>
      <c r="C435" s="79" t="s">
        <v>384</v>
      </c>
    </row>
    <row r="436" spans="2:3" x14ac:dyDescent="0.2">
      <c r="B436" s="79" t="s">
        <v>385</v>
      </c>
      <c r="C436" s="79">
        <v>206146</v>
      </c>
    </row>
    <row r="437" spans="2:3" x14ac:dyDescent="0.2">
      <c r="B437" s="1158" t="s">
        <v>48</v>
      </c>
      <c r="C437" s="94">
        <v>2439</v>
      </c>
    </row>
    <row r="438" spans="2:3" x14ac:dyDescent="0.2">
      <c r="B438" s="1158" t="s">
        <v>49</v>
      </c>
      <c r="C438" s="94">
        <v>2440</v>
      </c>
    </row>
    <row r="439" spans="2:3" x14ac:dyDescent="0.2">
      <c r="B439" s="80" t="s">
        <v>387</v>
      </c>
      <c r="C439" s="80" t="s">
        <v>388</v>
      </c>
    </row>
    <row r="440" spans="2:3" x14ac:dyDescent="0.2">
      <c r="B440" s="1158" t="s">
        <v>102</v>
      </c>
      <c r="C440" s="79">
        <v>2462</v>
      </c>
    </row>
    <row r="441" spans="2:3" x14ac:dyDescent="0.2">
      <c r="B441" s="1158" t="s">
        <v>50</v>
      </c>
      <c r="C441" s="94">
        <v>2463</v>
      </c>
    </row>
    <row r="442" spans="2:3" x14ac:dyDescent="0.2">
      <c r="B442" s="79" t="s">
        <v>51</v>
      </c>
      <c r="C442" s="79">
        <v>2505</v>
      </c>
    </row>
    <row r="443" spans="2:3" x14ac:dyDescent="0.2">
      <c r="B443" s="79" t="s">
        <v>52</v>
      </c>
      <c r="C443" s="79">
        <v>2000</v>
      </c>
    </row>
    <row r="444" spans="2:3" x14ac:dyDescent="0.2">
      <c r="B444" s="1158" t="s">
        <v>53</v>
      </c>
      <c r="C444" s="94">
        <v>2458</v>
      </c>
    </row>
    <row r="445" spans="2:3" x14ac:dyDescent="0.2">
      <c r="B445" s="79" t="s">
        <v>392</v>
      </c>
      <c r="C445" s="79" t="s">
        <v>394</v>
      </c>
    </row>
    <row r="446" spans="2:3" x14ac:dyDescent="0.2">
      <c r="B446" s="79" t="s">
        <v>54</v>
      </c>
      <c r="C446" s="79">
        <v>2001</v>
      </c>
    </row>
    <row r="447" spans="2:3" x14ac:dyDescent="0.2">
      <c r="B447" s="80" t="s">
        <v>395</v>
      </c>
      <c r="C447" s="80" t="s">
        <v>396</v>
      </c>
    </row>
    <row r="448" spans="2:3" x14ac:dyDescent="0.2">
      <c r="B448" s="79" t="s">
        <v>55</v>
      </c>
      <c r="C448" s="79">
        <v>2429</v>
      </c>
    </row>
    <row r="449" spans="2:3" x14ac:dyDescent="0.2">
      <c r="B449" s="79" t="s">
        <v>397</v>
      </c>
      <c r="C449" s="79">
        <v>113044</v>
      </c>
    </row>
    <row r="450" spans="2:3" x14ac:dyDescent="0.2">
      <c r="B450" s="79" t="s">
        <v>399</v>
      </c>
      <c r="C450" s="79" t="s">
        <v>401</v>
      </c>
    </row>
    <row r="451" spans="2:3" x14ac:dyDescent="0.2">
      <c r="B451" s="1158" t="s">
        <v>72</v>
      </c>
      <c r="C451" s="94">
        <v>4607</v>
      </c>
    </row>
    <row r="452" spans="2:3" x14ac:dyDescent="0.2">
      <c r="B452" s="665" t="s">
        <v>881</v>
      </c>
      <c r="C452" s="1169" t="s">
        <v>882</v>
      </c>
    </row>
    <row r="453" spans="2:3" x14ac:dyDescent="0.2">
      <c r="B453" s="726" t="s">
        <v>883</v>
      </c>
      <c r="C453" s="1154" t="s">
        <v>884</v>
      </c>
    </row>
    <row r="454" spans="2:3" x14ac:dyDescent="0.2">
      <c r="B454" s="79" t="s">
        <v>56</v>
      </c>
      <c r="C454" s="79">
        <v>2444</v>
      </c>
    </row>
    <row r="455" spans="2:3" x14ac:dyDescent="0.2">
      <c r="B455" s="1158" t="s">
        <v>57</v>
      </c>
      <c r="C455" s="94">
        <v>5209</v>
      </c>
    </row>
    <row r="456" spans="2:3" x14ac:dyDescent="0.2">
      <c r="B456" s="79" t="s">
        <v>402</v>
      </c>
      <c r="C456" s="79" t="s">
        <v>404</v>
      </c>
    </row>
    <row r="457" spans="2:3" x14ac:dyDescent="0.2">
      <c r="B457" s="79" t="s">
        <v>405</v>
      </c>
      <c r="C457" s="79" t="s">
        <v>407</v>
      </c>
    </row>
    <row r="458" spans="2:3" x14ac:dyDescent="0.2">
      <c r="B458" s="1158" t="s">
        <v>58</v>
      </c>
      <c r="C458" s="94">
        <v>2469</v>
      </c>
    </row>
    <row r="459" spans="2:3" x14ac:dyDescent="0.2">
      <c r="B459" s="79" t="s">
        <v>408</v>
      </c>
      <c r="C459" s="79" t="s">
        <v>410</v>
      </c>
    </row>
    <row r="460" spans="2:3" x14ac:dyDescent="0.2">
      <c r="B460" s="99" t="s">
        <v>411</v>
      </c>
      <c r="C460" s="99" t="s">
        <v>412</v>
      </c>
    </row>
    <row r="461" spans="2:3" x14ac:dyDescent="0.2">
      <c r="B461" s="1158" t="s">
        <v>59</v>
      </c>
      <c r="C461" s="94">
        <v>2466</v>
      </c>
    </row>
    <row r="462" spans="2:3" x14ac:dyDescent="0.2">
      <c r="B462" s="79" t="s">
        <v>60</v>
      </c>
      <c r="C462" s="79">
        <v>3543</v>
      </c>
    </row>
    <row r="463" spans="2:3" x14ac:dyDescent="0.2">
      <c r="B463" s="79" t="s">
        <v>413</v>
      </c>
      <c r="C463" s="79">
        <v>206152</v>
      </c>
    </row>
    <row r="464" spans="2:3" x14ac:dyDescent="0.2">
      <c r="B464" s="79" t="s">
        <v>415</v>
      </c>
      <c r="C464" s="79">
        <v>206153</v>
      </c>
    </row>
    <row r="465" spans="2:3" x14ac:dyDescent="0.2">
      <c r="B465" s="1158" t="s">
        <v>62</v>
      </c>
      <c r="C465" s="94">
        <v>3531</v>
      </c>
    </row>
    <row r="466" spans="2:3" x14ac:dyDescent="0.2">
      <c r="B466" s="79" t="s">
        <v>63</v>
      </c>
      <c r="C466" s="79">
        <v>3526</v>
      </c>
    </row>
    <row r="467" spans="2:3" x14ac:dyDescent="0.2">
      <c r="B467" s="1158" t="s">
        <v>104</v>
      </c>
      <c r="C467" s="94">
        <v>3535</v>
      </c>
    </row>
    <row r="468" spans="2:3" x14ac:dyDescent="0.2">
      <c r="B468" s="1203" t="s">
        <v>64</v>
      </c>
      <c r="C468" s="94">
        <v>2008</v>
      </c>
    </row>
    <row r="469" spans="2:3" x14ac:dyDescent="0.2">
      <c r="B469" s="1158" t="s">
        <v>105</v>
      </c>
      <c r="C469" s="94">
        <v>3542</v>
      </c>
    </row>
    <row r="470" spans="2:3" ht="25.5" x14ac:dyDescent="0.2">
      <c r="B470" s="90" t="s">
        <v>417</v>
      </c>
      <c r="C470" s="79">
        <v>206154</v>
      </c>
    </row>
    <row r="471" spans="2:3" x14ac:dyDescent="0.2">
      <c r="B471" s="1158" t="s">
        <v>106</v>
      </c>
      <c r="C471" s="79">
        <v>3528</v>
      </c>
    </row>
    <row r="472" spans="2:3" x14ac:dyDescent="0.2">
      <c r="B472" s="80" t="s">
        <v>419</v>
      </c>
      <c r="C472" s="80" t="s">
        <v>420</v>
      </c>
    </row>
    <row r="473" spans="2:3" x14ac:dyDescent="0.2">
      <c r="B473" s="1158" t="s">
        <v>107</v>
      </c>
      <c r="C473" s="94">
        <v>3534</v>
      </c>
    </row>
    <row r="474" spans="2:3" x14ac:dyDescent="0.2">
      <c r="B474" s="1158" t="s">
        <v>108</v>
      </c>
      <c r="C474" s="143">
        <v>3532</v>
      </c>
    </row>
    <row r="475" spans="2:3" x14ac:dyDescent="0.2">
      <c r="B475" s="107" t="s">
        <v>7</v>
      </c>
      <c r="C475" s="79">
        <v>1010</v>
      </c>
    </row>
    <row r="476" spans="2:3" x14ac:dyDescent="0.2">
      <c r="B476" s="107" t="s">
        <v>421</v>
      </c>
      <c r="C476" s="79" t="s">
        <v>423</v>
      </c>
    </row>
    <row r="477" spans="2:3" x14ac:dyDescent="0.2">
      <c r="B477" s="1158" t="s">
        <v>114</v>
      </c>
      <c r="C477" s="94">
        <v>4177</v>
      </c>
    </row>
    <row r="478" spans="2:3" x14ac:dyDescent="0.2">
      <c r="B478" s="79" t="s">
        <v>424</v>
      </c>
      <c r="C478" s="79" t="s">
        <v>426</v>
      </c>
    </row>
    <row r="479" spans="2:3" x14ac:dyDescent="0.2">
      <c r="B479" s="79" t="s">
        <v>427</v>
      </c>
      <c r="C479" s="79">
        <v>206103</v>
      </c>
    </row>
    <row r="480" spans="2:3" x14ac:dyDescent="0.2">
      <c r="B480" s="79" t="s">
        <v>428</v>
      </c>
      <c r="C480" s="79" t="s">
        <v>430</v>
      </c>
    </row>
    <row r="481" spans="2:3" x14ac:dyDescent="0.2">
      <c r="B481" s="79" t="s">
        <v>431</v>
      </c>
      <c r="C481" s="79" t="s">
        <v>433</v>
      </c>
    </row>
    <row r="482" spans="2:3" x14ac:dyDescent="0.2">
      <c r="B482" s="79" t="s">
        <v>434</v>
      </c>
      <c r="C482" s="79">
        <v>258420</v>
      </c>
    </row>
    <row r="483" spans="2:3" x14ac:dyDescent="0.2">
      <c r="B483" s="79" t="s">
        <v>436</v>
      </c>
      <c r="C483" s="79">
        <v>258424</v>
      </c>
    </row>
    <row r="484" spans="2:3" x14ac:dyDescent="0.2">
      <c r="B484" s="79" t="s">
        <v>438</v>
      </c>
      <c r="C484" s="79" t="s">
        <v>439</v>
      </c>
    </row>
    <row r="485" spans="2:3" x14ac:dyDescent="0.2">
      <c r="B485" s="142" t="s">
        <v>65</v>
      </c>
      <c r="C485" s="79">
        <v>3546</v>
      </c>
    </row>
    <row r="486" spans="2:3" x14ac:dyDescent="0.2">
      <c r="B486" s="140" t="s">
        <v>8</v>
      </c>
      <c r="C486" s="79">
        <v>1009</v>
      </c>
    </row>
    <row r="487" spans="2:3" x14ac:dyDescent="0.2">
      <c r="B487" s="142" t="s">
        <v>66</v>
      </c>
      <c r="C487" s="79">
        <v>3530</v>
      </c>
    </row>
    <row r="488" spans="2:3" x14ac:dyDescent="0.2">
      <c r="B488" s="1158" t="s">
        <v>74</v>
      </c>
      <c r="C488" s="94">
        <v>5412</v>
      </c>
    </row>
    <row r="489" spans="2:3" ht="15" x14ac:dyDescent="0.2">
      <c r="B489" s="146" t="s">
        <v>445</v>
      </c>
      <c r="C489" s="146" t="s">
        <v>446</v>
      </c>
    </row>
    <row r="490" spans="2:3" x14ac:dyDescent="0.2">
      <c r="B490" s="140" t="s">
        <v>440</v>
      </c>
      <c r="C490" s="144" t="s">
        <v>442</v>
      </c>
    </row>
    <row r="491" spans="2:3" x14ac:dyDescent="0.2">
      <c r="B491" s="79" t="s">
        <v>9</v>
      </c>
      <c r="C491" s="140">
        <v>1015</v>
      </c>
    </row>
    <row r="492" spans="2:3" ht="25.5" x14ac:dyDescent="0.2">
      <c r="B492" s="141" t="s">
        <v>443</v>
      </c>
      <c r="C492" s="145" t="s">
        <v>444</v>
      </c>
    </row>
    <row r="493" spans="2:3" x14ac:dyDescent="0.2">
      <c r="B493" s="142" t="s">
        <v>447</v>
      </c>
      <c r="C493" s="79">
        <v>509204</v>
      </c>
    </row>
    <row r="494" spans="2:3" x14ac:dyDescent="0.2">
      <c r="B494" s="1206" t="s">
        <v>67</v>
      </c>
      <c r="C494" s="143">
        <v>2459</v>
      </c>
    </row>
    <row r="495" spans="2:3" x14ac:dyDescent="0.2">
      <c r="B495" s="79" t="s">
        <v>96</v>
      </c>
      <c r="C495" s="79">
        <v>2007</v>
      </c>
    </row>
  </sheetData>
  <sheetProtection password="EF5C" sheet="1" objects="1" scenarios="1" selectLockedCells="1" selectUnlockedCells="1"/>
  <autoFilter ref="A1:AX58"/>
  <pageMargins left="0.23622047244094491" right="0.23622047244094491" top="0.35433070866141736" bottom="0.35433070866141736" header="0.31496062992125984" footer="0.31496062992125984"/>
  <pageSetup paperSize="9" scale="55" orientation="landscape" r:id="rId1"/>
  <headerFooter alignWithMargins="0">
    <oddHeader>&amp;A</oddHeader>
    <oddFoote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J46"/>
  <sheetViews>
    <sheetView zoomScale="70" zoomScaleNormal="70" workbookViewId="0">
      <pane xSplit="6" ySplit="5" topLeftCell="G6" activePane="bottomRight" state="frozen"/>
      <selection activeCell="BM9" sqref="BM9"/>
      <selection pane="topRight" activeCell="BM9" sqref="BM9"/>
      <selection pane="bottomLeft" activeCell="BM9" sqref="BM9"/>
      <selection pane="bottomRight" sqref="A1:CY1048576"/>
    </sheetView>
  </sheetViews>
  <sheetFormatPr defaultRowHeight="15" x14ac:dyDescent="0.25"/>
  <cols>
    <col min="1" max="1" width="0" style="443" hidden="1" customWidth="1"/>
    <col min="2" max="2" width="14" style="443" hidden="1" customWidth="1"/>
    <col min="3" max="5" width="15.28515625" style="443" hidden="1" customWidth="1"/>
    <col min="6" max="6" width="2.5703125" style="443" hidden="1" customWidth="1"/>
    <col min="7" max="7" width="9.42578125" style="443" hidden="1" customWidth="1"/>
    <col min="8" max="8" width="15.140625" style="443" hidden="1" customWidth="1"/>
    <col min="9" max="9" width="11" style="443" hidden="1" customWidth="1"/>
    <col min="10" max="26" width="0" style="443" hidden="1" customWidth="1"/>
    <col min="27" max="27" width="3.85546875" style="443" hidden="1" customWidth="1"/>
    <col min="28" max="28" width="9.140625" style="443" hidden="1" customWidth="1"/>
    <col min="29" max="29" width="13.28515625" style="443" hidden="1" customWidth="1"/>
    <col min="30" max="30" width="9.140625" style="443" hidden="1" customWidth="1"/>
    <col min="31" max="33" width="0" style="443" hidden="1" customWidth="1"/>
    <col min="34" max="34" width="11.85546875" style="443" hidden="1" customWidth="1"/>
    <col min="35" max="35" width="10.140625" style="443" hidden="1" customWidth="1"/>
    <col min="36" max="46" width="0" style="443" hidden="1" customWidth="1"/>
    <col min="47" max="47" width="3.140625" style="443" hidden="1" customWidth="1"/>
    <col min="48" max="66" width="0" style="443" hidden="1" customWidth="1"/>
    <col min="67" max="67" width="2.42578125" style="443" hidden="1" customWidth="1"/>
    <col min="68" max="71" width="13.42578125" style="441" hidden="1" customWidth="1"/>
    <col min="72" max="72" width="18.28515625" style="441" hidden="1" customWidth="1"/>
    <col min="73" max="73" width="15" style="441" hidden="1" customWidth="1"/>
    <col min="74" max="74" width="14.140625" style="441" hidden="1" customWidth="1"/>
    <col min="75" max="75" width="3.42578125" style="443" hidden="1" customWidth="1"/>
    <col min="76" max="76" width="9.140625" style="443" hidden="1" customWidth="1"/>
    <col min="77" max="79" width="12" style="443" hidden="1" customWidth="1"/>
    <col min="80" max="82" width="0" style="443" hidden="1" customWidth="1"/>
    <col min="83" max="83" width="11.42578125" style="443" hidden="1" customWidth="1"/>
    <col min="84" max="85" width="0" style="443" hidden="1" customWidth="1"/>
    <col min="86" max="86" width="11.140625" style="443" hidden="1" customWidth="1"/>
    <col min="87" max="103" width="0" style="443" hidden="1" customWidth="1"/>
    <col min="104" max="239" width="9.140625" style="443"/>
    <col min="240" max="240" width="14" style="443" customWidth="1"/>
    <col min="241" max="243" width="15.28515625" style="443" customWidth="1"/>
    <col min="244" max="244" width="2.5703125" style="443" customWidth="1"/>
    <col min="245" max="245" width="15.28515625" style="443" bestFit="1" customWidth="1"/>
    <col min="246" max="262" width="9.140625" style="443" customWidth="1"/>
    <col min="263" max="263" width="9.42578125" style="443" customWidth="1"/>
    <col min="264" max="264" width="15.140625" style="443" customWidth="1"/>
    <col min="265" max="265" width="11" style="443" customWidth="1"/>
    <col min="266" max="269" width="9.140625" style="443"/>
    <col min="270" max="271" width="0" style="443" hidden="1" customWidth="1"/>
    <col min="272" max="275" width="9.140625" style="443"/>
    <col min="276" max="277" width="0" style="443" hidden="1" customWidth="1"/>
    <col min="278" max="282" width="9.140625" style="443"/>
    <col min="283" max="283" width="3.85546875" style="443" customWidth="1"/>
    <col min="284" max="284" width="9.140625" style="443" customWidth="1"/>
    <col min="285" max="285" width="13.28515625" style="443" customWidth="1"/>
    <col min="286" max="286" width="9.140625" style="443" customWidth="1"/>
    <col min="287" max="289" width="9.140625" style="443"/>
    <col min="290" max="290" width="11.85546875" style="443" customWidth="1"/>
    <col min="291" max="291" width="10.140625" style="443" customWidth="1"/>
    <col min="292" max="295" width="9.140625" style="443"/>
    <col min="296" max="297" width="0" style="443" hidden="1" customWidth="1"/>
    <col min="298" max="302" width="9.140625" style="443"/>
    <col min="303" max="303" width="3.140625" style="443" customWidth="1"/>
    <col min="304" max="322" width="9.140625" style="443"/>
    <col min="323" max="323" width="2.42578125" style="443" customWidth="1"/>
    <col min="324" max="324" width="13.42578125" style="443" bestFit="1" customWidth="1"/>
    <col min="325" max="327" width="13.42578125" style="443" customWidth="1"/>
    <col min="328" max="328" width="18.28515625" style="443" bestFit="1" customWidth="1"/>
    <col min="329" max="329" width="15" style="443" bestFit="1" customWidth="1"/>
    <col min="330" max="330" width="14.140625" style="443" customWidth="1"/>
    <col min="331" max="331" width="3.42578125" style="443" customWidth="1"/>
    <col min="332" max="495" width="9.140625" style="443"/>
    <col min="496" max="496" width="14" style="443" customWidth="1"/>
    <col min="497" max="499" width="15.28515625" style="443" customWidth="1"/>
    <col min="500" max="500" width="2.5703125" style="443" customWidth="1"/>
    <col min="501" max="501" width="15.28515625" style="443" bestFit="1" customWidth="1"/>
    <col min="502" max="518" width="9.140625" style="443" customWidth="1"/>
    <col min="519" max="519" width="9.42578125" style="443" customWidth="1"/>
    <col min="520" max="520" width="15.140625" style="443" customWidth="1"/>
    <col min="521" max="521" width="11" style="443" customWidth="1"/>
    <col min="522" max="525" width="9.140625" style="443"/>
    <col min="526" max="527" width="0" style="443" hidden="1" customWidth="1"/>
    <col min="528" max="531" width="9.140625" style="443"/>
    <col min="532" max="533" width="0" style="443" hidden="1" customWidth="1"/>
    <col min="534" max="538" width="9.140625" style="443"/>
    <col min="539" max="539" width="3.85546875" style="443" customWidth="1"/>
    <col min="540" max="540" width="9.140625" style="443" customWidth="1"/>
    <col min="541" max="541" width="13.28515625" style="443" customWidth="1"/>
    <col min="542" max="542" width="9.140625" style="443" customWidth="1"/>
    <col min="543" max="545" width="9.140625" style="443"/>
    <col min="546" max="546" width="11.85546875" style="443" customWidth="1"/>
    <col min="547" max="547" width="10.140625" style="443" customWidth="1"/>
    <col min="548" max="551" width="9.140625" style="443"/>
    <col min="552" max="553" width="0" style="443" hidden="1" customWidth="1"/>
    <col min="554" max="558" width="9.140625" style="443"/>
    <col min="559" max="559" width="3.140625" style="443" customWidth="1"/>
    <col min="560" max="578" width="9.140625" style="443"/>
    <col min="579" max="579" width="2.42578125" style="443" customWidth="1"/>
    <col min="580" max="580" width="13.42578125" style="443" bestFit="1" customWidth="1"/>
    <col min="581" max="583" width="13.42578125" style="443" customWidth="1"/>
    <col min="584" max="584" width="18.28515625" style="443" bestFit="1" customWidth="1"/>
    <col min="585" max="585" width="15" style="443" bestFit="1" customWidth="1"/>
    <col min="586" max="586" width="14.140625" style="443" customWidth="1"/>
    <col min="587" max="587" width="3.42578125" style="443" customWidth="1"/>
    <col min="588" max="751" width="9.140625" style="443"/>
    <col min="752" max="752" width="14" style="443" customWidth="1"/>
    <col min="753" max="755" width="15.28515625" style="443" customWidth="1"/>
    <col min="756" max="756" width="2.5703125" style="443" customWidth="1"/>
    <col min="757" max="757" width="15.28515625" style="443" bestFit="1" customWidth="1"/>
    <col min="758" max="774" width="9.140625" style="443" customWidth="1"/>
    <col min="775" max="775" width="9.42578125" style="443" customWidth="1"/>
    <col min="776" max="776" width="15.140625" style="443" customWidth="1"/>
    <col min="777" max="777" width="11" style="443" customWidth="1"/>
    <col min="778" max="781" width="9.140625" style="443"/>
    <col min="782" max="783" width="0" style="443" hidden="1" customWidth="1"/>
    <col min="784" max="787" width="9.140625" style="443"/>
    <col min="788" max="789" width="0" style="443" hidden="1" customWidth="1"/>
    <col min="790" max="794" width="9.140625" style="443"/>
    <col min="795" max="795" width="3.85546875" style="443" customWidth="1"/>
    <col min="796" max="796" width="9.140625" style="443" customWidth="1"/>
    <col min="797" max="797" width="13.28515625" style="443" customWidth="1"/>
    <col min="798" max="798" width="9.140625" style="443" customWidth="1"/>
    <col min="799" max="801" width="9.140625" style="443"/>
    <col min="802" max="802" width="11.85546875" style="443" customWidth="1"/>
    <col min="803" max="803" width="10.140625" style="443" customWidth="1"/>
    <col min="804" max="807" width="9.140625" style="443"/>
    <col min="808" max="809" width="0" style="443" hidden="1" customWidth="1"/>
    <col min="810" max="814" width="9.140625" style="443"/>
    <col min="815" max="815" width="3.140625" style="443" customWidth="1"/>
    <col min="816" max="834" width="9.140625" style="443"/>
    <col min="835" max="835" width="2.42578125" style="443" customWidth="1"/>
    <col min="836" max="836" width="13.42578125" style="443" bestFit="1" customWidth="1"/>
    <col min="837" max="839" width="13.42578125" style="443" customWidth="1"/>
    <col min="840" max="840" width="18.28515625" style="443" bestFit="1" customWidth="1"/>
    <col min="841" max="841" width="15" style="443" bestFit="1" customWidth="1"/>
    <col min="842" max="842" width="14.140625" style="443" customWidth="1"/>
    <col min="843" max="843" width="3.42578125" style="443" customWidth="1"/>
    <col min="844" max="1007" width="9.140625" style="443"/>
    <col min="1008" max="1008" width="14" style="443" customWidth="1"/>
    <col min="1009" max="1011" width="15.28515625" style="443" customWidth="1"/>
    <col min="1012" max="1012" width="2.5703125" style="443" customWidth="1"/>
    <col min="1013" max="1013" width="15.28515625" style="443" bestFit="1" customWidth="1"/>
    <col min="1014" max="1030" width="9.140625" style="443" customWidth="1"/>
    <col min="1031" max="1031" width="9.42578125" style="443" customWidth="1"/>
    <col min="1032" max="1032" width="15.140625" style="443" customWidth="1"/>
    <col min="1033" max="1033" width="11" style="443" customWidth="1"/>
    <col min="1034" max="1037" width="9.140625" style="443"/>
    <col min="1038" max="1039" width="0" style="443" hidden="1" customWidth="1"/>
    <col min="1040" max="1043" width="9.140625" style="443"/>
    <col min="1044" max="1045" width="0" style="443" hidden="1" customWidth="1"/>
    <col min="1046" max="1050" width="9.140625" style="443"/>
    <col min="1051" max="1051" width="3.85546875" style="443" customWidth="1"/>
    <col min="1052" max="1052" width="9.140625" style="443" customWidth="1"/>
    <col min="1053" max="1053" width="13.28515625" style="443" customWidth="1"/>
    <col min="1054" max="1054" width="9.140625" style="443" customWidth="1"/>
    <col min="1055" max="1057" width="9.140625" style="443"/>
    <col min="1058" max="1058" width="11.85546875" style="443" customWidth="1"/>
    <col min="1059" max="1059" width="10.140625" style="443" customWidth="1"/>
    <col min="1060" max="1063" width="9.140625" style="443"/>
    <col min="1064" max="1065" width="0" style="443" hidden="1" customWidth="1"/>
    <col min="1066" max="1070" width="9.140625" style="443"/>
    <col min="1071" max="1071" width="3.140625" style="443" customWidth="1"/>
    <col min="1072" max="1090" width="9.140625" style="443"/>
    <col min="1091" max="1091" width="2.42578125" style="443" customWidth="1"/>
    <col min="1092" max="1092" width="13.42578125" style="443" bestFit="1" customWidth="1"/>
    <col min="1093" max="1095" width="13.42578125" style="443" customWidth="1"/>
    <col min="1096" max="1096" width="18.28515625" style="443" bestFit="1" customWidth="1"/>
    <col min="1097" max="1097" width="15" style="443" bestFit="1" customWidth="1"/>
    <col min="1098" max="1098" width="14.140625" style="443" customWidth="1"/>
    <col min="1099" max="1099" width="3.42578125" style="443" customWidth="1"/>
    <col min="1100" max="1263" width="9.140625" style="443"/>
    <col min="1264" max="1264" width="14" style="443" customWidth="1"/>
    <col min="1265" max="1267" width="15.28515625" style="443" customWidth="1"/>
    <col min="1268" max="1268" width="2.5703125" style="443" customWidth="1"/>
    <col min="1269" max="1269" width="15.28515625" style="443" bestFit="1" customWidth="1"/>
    <col min="1270" max="1286" width="9.140625" style="443" customWidth="1"/>
    <col min="1287" max="1287" width="9.42578125" style="443" customWidth="1"/>
    <col min="1288" max="1288" width="15.140625" style="443" customWidth="1"/>
    <col min="1289" max="1289" width="11" style="443" customWidth="1"/>
    <col min="1290" max="1293" width="9.140625" style="443"/>
    <col min="1294" max="1295" width="0" style="443" hidden="1" customWidth="1"/>
    <col min="1296" max="1299" width="9.140625" style="443"/>
    <col min="1300" max="1301" width="0" style="443" hidden="1" customWidth="1"/>
    <col min="1302" max="1306" width="9.140625" style="443"/>
    <col min="1307" max="1307" width="3.85546875" style="443" customWidth="1"/>
    <col min="1308" max="1308" width="9.140625" style="443" customWidth="1"/>
    <col min="1309" max="1309" width="13.28515625" style="443" customWidth="1"/>
    <col min="1310" max="1310" width="9.140625" style="443" customWidth="1"/>
    <col min="1311" max="1313" width="9.140625" style="443"/>
    <col min="1314" max="1314" width="11.85546875" style="443" customWidth="1"/>
    <col min="1315" max="1315" width="10.140625" style="443" customWidth="1"/>
    <col min="1316" max="1319" width="9.140625" style="443"/>
    <col min="1320" max="1321" width="0" style="443" hidden="1" customWidth="1"/>
    <col min="1322" max="1326" width="9.140625" style="443"/>
    <col min="1327" max="1327" width="3.140625" style="443" customWidth="1"/>
    <col min="1328" max="1346" width="9.140625" style="443"/>
    <col min="1347" max="1347" width="2.42578125" style="443" customWidth="1"/>
    <col min="1348" max="1348" width="13.42578125" style="443" bestFit="1" customWidth="1"/>
    <col min="1349" max="1351" width="13.42578125" style="443" customWidth="1"/>
    <col min="1352" max="1352" width="18.28515625" style="443" bestFit="1" customWidth="1"/>
    <col min="1353" max="1353" width="15" style="443" bestFit="1" customWidth="1"/>
    <col min="1354" max="1354" width="14.140625" style="443" customWidth="1"/>
    <col min="1355" max="1355" width="3.42578125" style="443" customWidth="1"/>
    <col min="1356" max="1519" width="9.140625" style="443"/>
    <col min="1520" max="1520" width="14" style="443" customWidth="1"/>
    <col min="1521" max="1523" width="15.28515625" style="443" customWidth="1"/>
    <col min="1524" max="1524" width="2.5703125" style="443" customWidth="1"/>
    <col min="1525" max="1525" width="15.28515625" style="443" bestFit="1" customWidth="1"/>
    <col min="1526" max="1542" width="9.140625" style="443" customWidth="1"/>
    <col min="1543" max="1543" width="9.42578125" style="443" customWidth="1"/>
    <col min="1544" max="1544" width="15.140625" style="443" customWidth="1"/>
    <col min="1545" max="1545" width="11" style="443" customWidth="1"/>
    <col min="1546" max="1549" width="9.140625" style="443"/>
    <col min="1550" max="1551" width="0" style="443" hidden="1" customWidth="1"/>
    <col min="1552" max="1555" width="9.140625" style="443"/>
    <col min="1556" max="1557" width="0" style="443" hidden="1" customWidth="1"/>
    <col min="1558" max="1562" width="9.140625" style="443"/>
    <col min="1563" max="1563" width="3.85546875" style="443" customWidth="1"/>
    <col min="1564" max="1564" width="9.140625" style="443" customWidth="1"/>
    <col min="1565" max="1565" width="13.28515625" style="443" customWidth="1"/>
    <col min="1566" max="1566" width="9.140625" style="443" customWidth="1"/>
    <col min="1567" max="1569" width="9.140625" style="443"/>
    <col min="1570" max="1570" width="11.85546875" style="443" customWidth="1"/>
    <col min="1571" max="1571" width="10.140625" style="443" customWidth="1"/>
    <col min="1572" max="1575" width="9.140625" style="443"/>
    <col min="1576" max="1577" width="0" style="443" hidden="1" customWidth="1"/>
    <col min="1578" max="1582" width="9.140625" style="443"/>
    <col min="1583" max="1583" width="3.140625" style="443" customWidth="1"/>
    <col min="1584" max="1602" width="9.140625" style="443"/>
    <col min="1603" max="1603" width="2.42578125" style="443" customWidth="1"/>
    <col min="1604" max="1604" width="13.42578125" style="443" bestFit="1" customWidth="1"/>
    <col min="1605" max="1607" width="13.42578125" style="443" customWidth="1"/>
    <col min="1608" max="1608" width="18.28515625" style="443" bestFit="1" customWidth="1"/>
    <col min="1609" max="1609" width="15" style="443" bestFit="1" customWidth="1"/>
    <col min="1610" max="1610" width="14.140625" style="443" customWidth="1"/>
    <col min="1611" max="1611" width="3.42578125" style="443" customWidth="1"/>
    <col min="1612" max="1775" width="9.140625" style="443"/>
    <col min="1776" max="1776" width="14" style="443" customWidth="1"/>
    <col min="1777" max="1779" width="15.28515625" style="443" customWidth="1"/>
    <col min="1780" max="1780" width="2.5703125" style="443" customWidth="1"/>
    <col min="1781" max="1781" width="15.28515625" style="443" bestFit="1" customWidth="1"/>
    <col min="1782" max="1798" width="9.140625" style="443" customWidth="1"/>
    <col min="1799" max="1799" width="9.42578125" style="443" customWidth="1"/>
    <col min="1800" max="1800" width="15.140625" style="443" customWidth="1"/>
    <col min="1801" max="1801" width="11" style="443" customWidth="1"/>
    <col min="1802" max="1805" width="9.140625" style="443"/>
    <col min="1806" max="1807" width="0" style="443" hidden="1" customWidth="1"/>
    <col min="1808" max="1811" width="9.140625" style="443"/>
    <col min="1812" max="1813" width="0" style="443" hidden="1" customWidth="1"/>
    <col min="1814" max="1818" width="9.140625" style="443"/>
    <col min="1819" max="1819" width="3.85546875" style="443" customWidth="1"/>
    <col min="1820" max="1820" width="9.140625" style="443" customWidth="1"/>
    <col min="1821" max="1821" width="13.28515625" style="443" customWidth="1"/>
    <col min="1822" max="1822" width="9.140625" style="443" customWidth="1"/>
    <col min="1823" max="1825" width="9.140625" style="443"/>
    <col min="1826" max="1826" width="11.85546875" style="443" customWidth="1"/>
    <col min="1827" max="1827" width="10.140625" style="443" customWidth="1"/>
    <col min="1828" max="1831" width="9.140625" style="443"/>
    <col min="1832" max="1833" width="0" style="443" hidden="1" customWidth="1"/>
    <col min="1834" max="1838" width="9.140625" style="443"/>
    <col min="1839" max="1839" width="3.140625" style="443" customWidth="1"/>
    <col min="1840" max="1858" width="9.140625" style="443"/>
    <col min="1859" max="1859" width="2.42578125" style="443" customWidth="1"/>
    <col min="1860" max="1860" width="13.42578125" style="443" bestFit="1" customWidth="1"/>
    <col min="1861" max="1863" width="13.42578125" style="443" customWidth="1"/>
    <col min="1864" max="1864" width="18.28515625" style="443" bestFit="1" customWidth="1"/>
    <col min="1865" max="1865" width="15" style="443" bestFit="1" customWidth="1"/>
    <col min="1866" max="1866" width="14.140625" style="443" customWidth="1"/>
    <col min="1867" max="1867" width="3.42578125" style="443" customWidth="1"/>
    <col min="1868" max="2031" width="9.140625" style="443"/>
    <col min="2032" max="2032" width="14" style="443" customWidth="1"/>
    <col min="2033" max="2035" width="15.28515625" style="443" customWidth="1"/>
    <col min="2036" max="2036" width="2.5703125" style="443" customWidth="1"/>
    <col min="2037" max="2037" width="15.28515625" style="443" bestFit="1" customWidth="1"/>
    <col min="2038" max="2054" width="9.140625" style="443" customWidth="1"/>
    <col min="2055" max="2055" width="9.42578125" style="443" customWidth="1"/>
    <col min="2056" max="2056" width="15.140625" style="443" customWidth="1"/>
    <col min="2057" max="2057" width="11" style="443" customWidth="1"/>
    <col min="2058" max="2061" width="9.140625" style="443"/>
    <col min="2062" max="2063" width="0" style="443" hidden="1" customWidth="1"/>
    <col min="2064" max="2067" width="9.140625" style="443"/>
    <col min="2068" max="2069" width="0" style="443" hidden="1" customWidth="1"/>
    <col min="2070" max="2074" width="9.140625" style="443"/>
    <col min="2075" max="2075" width="3.85546875" style="443" customWidth="1"/>
    <col min="2076" max="2076" width="9.140625" style="443" customWidth="1"/>
    <col min="2077" max="2077" width="13.28515625" style="443" customWidth="1"/>
    <col min="2078" max="2078" width="9.140625" style="443" customWidth="1"/>
    <col min="2079" max="2081" width="9.140625" style="443"/>
    <col min="2082" max="2082" width="11.85546875" style="443" customWidth="1"/>
    <col min="2083" max="2083" width="10.140625" style="443" customWidth="1"/>
    <col min="2084" max="2087" width="9.140625" style="443"/>
    <col min="2088" max="2089" width="0" style="443" hidden="1" customWidth="1"/>
    <col min="2090" max="2094" width="9.140625" style="443"/>
    <col min="2095" max="2095" width="3.140625" style="443" customWidth="1"/>
    <col min="2096" max="2114" width="9.140625" style="443"/>
    <col min="2115" max="2115" width="2.42578125" style="443" customWidth="1"/>
    <col min="2116" max="2116" width="13.42578125" style="443" bestFit="1" customWidth="1"/>
    <col min="2117" max="2119" width="13.42578125" style="443" customWidth="1"/>
    <col min="2120" max="2120" width="18.28515625" style="443" bestFit="1" customWidth="1"/>
    <col min="2121" max="2121" width="15" style="443" bestFit="1" customWidth="1"/>
    <col min="2122" max="2122" width="14.140625" style="443" customWidth="1"/>
    <col min="2123" max="2123" width="3.42578125" style="443" customWidth="1"/>
    <col min="2124" max="2287" width="9.140625" style="443"/>
    <col min="2288" max="2288" width="14" style="443" customWidth="1"/>
    <col min="2289" max="2291" width="15.28515625" style="443" customWidth="1"/>
    <col min="2292" max="2292" width="2.5703125" style="443" customWidth="1"/>
    <col min="2293" max="2293" width="15.28515625" style="443" bestFit="1" customWidth="1"/>
    <col min="2294" max="2310" width="9.140625" style="443" customWidth="1"/>
    <col min="2311" max="2311" width="9.42578125" style="443" customWidth="1"/>
    <col min="2312" max="2312" width="15.140625" style="443" customWidth="1"/>
    <col min="2313" max="2313" width="11" style="443" customWidth="1"/>
    <col min="2314" max="2317" width="9.140625" style="443"/>
    <col min="2318" max="2319" width="0" style="443" hidden="1" customWidth="1"/>
    <col min="2320" max="2323" width="9.140625" style="443"/>
    <col min="2324" max="2325" width="0" style="443" hidden="1" customWidth="1"/>
    <col min="2326" max="2330" width="9.140625" style="443"/>
    <col min="2331" max="2331" width="3.85546875" style="443" customWidth="1"/>
    <col min="2332" max="2332" width="9.140625" style="443" customWidth="1"/>
    <col min="2333" max="2333" width="13.28515625" style="443" customWidth="1"/>
    <col min="2334" max="2334" width="9.140625" style="443" customWidth="1"/>
    <col min="2335" max="2337" width="9.140625" style="443"/>
    <col min="2338" max="2338" width="11.85546875" style="443" customWidth="1"/>
    <col min="2339" max="2339" width="10.140625" style="443" customWidth="1"/>
    <col min="2340" max="2343" width="9.140625" style="443"/>
    <col min="2344" max="2345" width="0" style="443" hidden="1" customWidth="1"/>
    <col min="2346" max="2350" width="9.140625" style="443"/>
    <col min="2351" max="2351" width="3.140625" style="443" customWidth="1"/>
    <col min="2352" max="2370" width="9.140625" style="443"/>
    <col min="2371" max="2371" width="2.42578125" style="443" customWidth="1"/>
    <col min="2372" max="2372" width="13.42578125" style="443" bestFit="1" customWidth="1"/>
    <col min="2373" max="2375" width="13.42578125" style="443" customWidth="1"/>
    <col min="2376" max="2376" width="18.28515625" style="443" bestFit="1" customWidth="1"/>
    <col min="2377" max="2377" width="15" style="443" bestFit="1" customWidth="1"/>
    <col min="2378" max="2378" width="14.140625" style="443" customWidth="1"/>
    <col min="2379" max="2379" width="3.42578125" style="443" customWidth="1"/>
    <col min="2380" max="2543" width="9.140625" style="443"/>
    <col min="2544" max="2544" width="14" style="443" customWidth="1"/>
    <col min="2545" max="2547" width="15.28515625" style="443" customWidth="1"/>
    <col min="2548" max="2548" width="2.5703125" style="443" customWidth="1"/>
    <col min="2549" max="2549" width="15.28515625" style="443" bestFit="1" customWidth="1"/>
    <col min="2550" max="2566" width="9.140625" style="443" customWidth="1"/>
    <col min="2567" max="2567" width="9.42578125" style="443" customWidth="1"/>
    <col min="2568" max="2568" width="15.140625" style="443" customWidth="1"/>
    <col min="2569" max="2569" width="11" style="443" customWidth="1"/>
    <col min="2570" max="2573" width="9.140625" style="443"/>
    <col min="2574" max="2575" width="0" style="443" hidden="1" customWidth="1"/>
    <col min="2576" max="2579" width="9.140625" style="443"/>
    <col min="2580" max="2581" width="0" style="443" hidden="1" customWidth="1"/>
    <col min="2582" max="2586" width="9.140625" style="443"/>
    <col min="2587" max="2587" width="3.85546875" style="443" customWidth="1"/>
    <col min="2588" max="2588" width="9.140625" style="443" customWidth="1"/>
    <col min="2589" max="2589" width="13.28515625" style="443" customWidth="1"/>
    <col min="2590" max="2590" width="9.140625" style="443" customWidth="1"/>
    <col min="2591" max="2593" width="9.140625" style="443"/>
    <col min="2594" max="2594" width="11.85546875" style="443" customWidth="1"/>
    <col min="2595" max="2595" width="10.140625" style="443" customWidth="1"/>
    <col min="2596" max="2599" width="9.140625" style="443"/>
    <col min="2600" max="2601" width="0" style="443" hidden="1" customWidth="1"/>
    <col min="2602" max="2606" width="9.140625" style="443"/>
    <col min="2607" max="2607" width="3.140625" style="443" customWidth="1"/>
    <col min="2608" max="2626" width="9.140625" style="443"/>
    <col min="2627" max="2627" width="2.42578125" style="443" customWidth="1"/>
    <col min="2628" max="2628" width="13.42578125" style="443" bestFit="1" customWidth="1"/>
    <col min="2629" max="2631" width="13.42578125" style="443" customWidth="1"/>
    <col min="2632" max="2632" width="18.28515625" style="443" bestFit="1" customWidth="1"/>
    <col min="2633" max="2633" width="15" style="443" bestFit="1" customWidth="1"/>
    <col min="2634" max="2634" width="14.140625" style="443" customWidth="1"/>
    <col min="2635" max="2635" width="3.42578125" style="443" customWidth="1"/>
    <col min="2636" max="2799" width="9.140625" style="443"/>
    <col min="2800" max="2800" width="14" style="443" customWidth="1"/>
    <col min="2801" max="2803" width="15.28515625" style="443" customWidth="1"/>
    <col min="2804" max="2804" width="2.5703125" style="443" customWidth="1"/>
    <col min="2805" max="2805" width="15.28515625" style="443" bestFit="1" customWidth="1"/>
    <col min="2806" max="2822" width="9.140625" style="443" customWidth="1"/>
    <col min="2823" max="2823" width="9.42578125" style="443" customWidth="1"/>
    <col min="2824" max="2824" width="15.140625" style="443" customWidth="1"/>
    <col min="2825" max="2825" width="11" style="443" customWidth="1"/>
    <col min="2826" max="2829" width="9.140625" style="443"/>
    <col min="2830" max="2831" width="0" style="443" hidden="1" customWidth="1"/>
    <col min="2832" max="2835" width="9.140625" style="443"/>
    <col min="2836" max="2837" width="0" style="443" hidden="1" customWidth="1"/>
    <col min="2838" max="2842" width="9.140625" style="443"/>
    <col min="2843" max="2843" width="3.85546875" style="443" customWidth="1"/>
    <col min="2844" max="2844" width="9.140625" style="443" customWidth="1"/>
    <col min="2845" max="2845" width="13.28515625" style="443" customWidth="1"/>
    <col min="2846" max="2846" width="9.140625" style="443" customWidth="1"/>
    <col min="2847" max="2849" width="9.140625" style="443"/>
    <col min="2850" max="2850" width="11.85546875" style="443" customWidth="1"/>
    <col min="2851" max="2851" width="10.140625" style="443" customWidth="1"/>
    <col min="2852" max="2855" width="9.140625" style="443"/>
    <col min="2856" max="2857" width="0" style="443" hidden="1" customWidth="1"/>
    <col min="2858" max="2862" width="9.140625" style="443"/>
    <col min="2863" max="2863" width="3.140625" style="443" customWidth="1"/>
    <col min="2864" max="2882" width="9.140625" style="443"/>
    <col min="2883" max="2883" width="2.42578125" style="443" customWidth="1"/>
    <col min="2884" max="2884" width="13.42578125" style="443" bestFit="1" customWidth="1"/>
    <col min="2885" max="2887" width="13.42578125" style="443" customWidth="1"/>
    <col min="2888" max="2888" width="18.28515625" style="443" bestFit="1" customWidth="1"/>
    <col min="2889" max="2889" width="15" style="443" bestFit="1" customWidth="1"/>
    <col min="2890" max="2890" width="14.140625" style="443" customWidth="1"/>
    <col min="2891" max="2891" width="3.42578125" style="443" customWidth="1"/>
    <col min="2892" max="3055" width="9.140625" style="443"/>
    <col min="3056" max="3056" width="14" style="443" customWidth="1"/>
    <col min="3057" max="3059" width="15.28515625" style="443" customWidth="1"/>
    <col min="3060" max="3060" width="2.5703125" style="443" customWidth="1"/>
    <col min="3061" max="3061" width="15.28515625" style="443" bestFit="1" customWidth="1"/>
    <col min="3062" max="3078" width="9.140625" style="443" customWidth="1"/>
    <col min="3079" max="3079" width="9.42578125" style="443" customWidth="1"/>
    <col min="3080" max="3080" width="15.140625" style="443" customWidth="1"/>
    <col min="3081" max="3081" width="11" style="443" customWidth="1"/>
    <col min="3082" max="3085" width="9.140625" style="443"/>
    <col min="3086" max="3087" width="0" style="443" hidden="1" customWidth="1"/>
    <col min="3088" max="3091" width="9.140625" style="443"/>
    <col min="3092" max="3093" width="0" style="443" hidden="1" customWidth="1"/>
    <col min="3094" max="3098" width="9.140625" style="443"/>
    <col min="3099" max="3099" width="3.85546875" style="443" customWidth="1"/>
    <col min="3100" max="3100" width="9.140625" style="443" customWidth="1"/>
    <col min="3101" max="3101" width="13.28515625" style="443" customWidth="1"/>
    <col min="3102" max="3102" width="9.140625" style="443" customWidth="1"/>
    <col min="3103" max="3105" width="9.140625" style="443"/>
    <col min="3106" max="3106" width="11.85546875" style="443" customWidth="1"/>
    <col min="3107" max="3107" width="10.140625" style="443" customWidth="1"/>
    <col min="3108" max="3111" width="9.140625" style="443"/>
    <col min="3112" max="3113" width="0" style="443" hidden="1" customWidth="1"/>
    <col min="3114" max="3118" width="9.140625" style="443"/>
    <col min="3119" max="3119" width="3.140625" style="443" customWidth="1"/>
    <col min="3120" max="3138" width="9.140625" style="443"/>
    <col min="3139" max="3139" width="2.42578125" style="443" customWidth="1"/>
    <col min="3140" max="3140" width="13.42578125" style="443" bestFit="1" customWidth="1"/>
    <col min="3141" max="3143" width="13.42578125" style="443" customWidth="1"/>
    <col min="3144" max="3144" width="18.28515625" style="443" bestFit="1" customWidth="1"/>
    <col min="3145" max="3145" width="15" style="443" bestFit="1" customWidth="1"/>
    <col min="3146" max="3146" width="14.140625" style="443" customWidth="1"/>
    <col min="3147" max="3147" width="3.42578125" style="443" customWidth="1"/>
    <col min="3148" max="3311" width="9.140625" style="443"/>
    <col min="3312" max="3312" width="14" style="443" customWidth="1"/>
    <col min="3313" max="3315" width="15.28515625" style="443" customWidth="1"/>
    <col min="3316" max="3316" width="2.5703125" style="443" customWidth="1"/>
    <col min="3317" max="3317" width="15.28515625" style="443" bestFit="1" customWidth="1"/>
    <col min="3318" max="3334" width="9.140625" style="443" customWidth="1"/>
    <col min="3335" max="3335" width="9.42578125" style="443" customWidth="1"/>
    <col min="3336" max="3336" width="15.140625" style="443" customWidth="1"/>
    <col min="3337" max="3337" width="11" style="443" customWidth="1"/>
    <col min="3338" max="3341" width="9.140625" style="443"/>
    <col min="3342" max="3343" width="0" style="443" hidden="1" customWidth="1"/>
    <col min="3344" max="3347" width="9.140625" style="443"/>
    <col min="3348" max="3349" width="0" style="443" hidden="1" customWidth="1"/>
    <col min="3350" max="3354" width="9.140625" style="443"/>
    <col min="3355" max="3355" width="3.85546875" style="443" customWidth="1"/>
    <col min="3356" max="3356" width="9.140625" style="443" customWidth="1"/>
    <col min="3357" max="3357" width="13.28515625" style="443" customWidth="1"/>
    <col min="3358" max="3358" width="9.140625" style="443" customWidth="1"/>
    <col min="3359" max="3361" width="9.140625" style="443"/>
    <col min="3362" max="3362" width="11.85546875" style="443" customWidth="1"/>
    <col min="3363" max="3363" width="10.140625" style="443" customWidth="1"/>
    <col min="3364" max="3367" width="9.140625" style="443"/>
    <col min="3368" max="3369" width="0" style="443" hidden="1" customWidth="1"/>
    <col min="3370" max="3374" width="9.140625" style="443"/>
    <col min="3375" max="3375" width="3.140625" style="443" customWidth="1"/>
    <col min="3376" max="3394" width="9.140625" style="443"/>
    <col min="3395" max="3395" width="2.42578125" style="443" customWidth="1"/>
    <col min="3396" max="3396" width="13.42578125" style="443" bestFit="1" customWidth="1"/>
    <col min="3397" max="3399" width="13.42578125" style="443" customWidth="1"/>
    <col min="3400" max="3400" width="18.28515625" style="443" bestFit="1" customWidth="1"/>
    <col min="3401" max="3401" width="15" style="443" bestFit="1" customWidth="1"/>
    <col min="3402" max="3402" width="14.140625" style="443" customWidth="1"/>
    <col min="3403" max="3403" width="3.42578125" style="443" customWidth="1"/>
    <col min="3404" max="3567" width="9.140625" style="443"/>
    <col min="3568" max="3568" width="14" style="443" customWidth="1"/>
    <col min="3569" max="3571" width="15.28515625" style="443" customWidth="1"/>
    <col min="3572" max="3572" width="2.5703125" style="443" customWidth="1"/>
    <col min="3573" max="3573" width="15.28515625" style="443" bestFit="1" customWidth="1"/>
    <col min="3574" max="3590" width="9.140625" style="443" customWidth="1"/>
    <col min="3591" max="3591" width="9.42578125" style="443" customWidth="1"/>
    <col min="3592" max="3592" width="15.140625" style="443" customWidth="1"/>
    <col min="3593" max="3593" width="11" style="443" customWidth="1"/>
    <col min="3594" max="3597" width="9.140625" style="443"/>
    <col min="3598" max="3599" width="0" style="443" hidden="1" customWidth="1"/>
    <col min="3600" max="3603" width="9.140625" style="443"/>
    <col min="3604" max="3605" width="0" style="443" hidden="1" customWidth="1"/>
    <col min="3606" max="3610" width="9.140625" style="443"/>
    <col min="3611" max="3611" width="3.85546875" style="443" customWidth="1"/>
    <col min="3612" max="3612" width="9.140625" style="443" customWidth="1"/>
    <col min="3613" max="3613" width="13.28515625" style="443" customWidth="1"/>
    <col min="3614" max="3614" width="9.140625" style="443" customWidth="1"/>
    <col min="3615" max="3617" width="9.140625" style="443"/>
    <col min="3618" max="3618" width="11.85546875" style="443" customWidth="1"/>
    <col min="3619" max="3619" width="10.140625" style="443" customWidth="1"/>
    <col min="3620" max="3623" width="9.140625" style="443"/>
    <col min="3624" max="3625" width="0" style="443" hidden="1" customWidth="1"/>
    <col min="3626" max="3630" width="9.140625" style="443"/>
    <col min="3631" max="3631" width="3.140625" style="443" customWidth="1"/>
    <col min="3632" max="3650" width="9.140625" style="443"/>
    <col min="3651" max="3651" width="2.42578125" style="443" customWidth="1"/>
    <col min="3652" max="3652" width="13.42578125" style="443" bestFit="1" customWidth="1"/>
    <col min="3653" max="3655" width="13.42578125" style="443" customWidth="1"/>
    <col min="3656" max="3656" width="18.28515625" style="443" bestFit="1" customWidth="1"/>
    <col min="3657" max="3657" width="15" style="443" bestFit="1" customWidth="1"/>
    <col min="3658" max="3658" width="14.140625" style="443" customWidth="1"/>
    <col min="3659" max="3659" width="3.42578125" style="443" customWidth="1"/>
    <col min="3660" max="3823" width="9.140625" style="443"/>
    <col min="3824" max="3824" width="14" style="443" customWidth="1"/>
    <col min="3825" max="3827" width="15.28515625" style="443" customWidth="1"/>
    <col min="3828" max="3828" width="2.5703125" style="443" customWidth="1"/>
    <col min="3829" max="3829" width="15.28515625" style="443" bestFit="1" customWidth="1"/>
    <col min="3830" max="3846" width="9.140625" style="443" customWidth="1"/>
    <col min="3847" max="3847" width="9.42578125" style="443" customWidth="1"/>
    <col min="3848" max="3848" width="15.140625" style="443" customWidth="1"/>
    <col min="3849" max="3849" width="11" style="443" customWidth="1"/>
    <col min="3850" max="3853" width="9.140625" style="443"/>
    <col min="3854" max="3855" width="0" style="443" hidden="1" customWidth="1"/>
    <col min="3856" max="3859" width="9.140625" style="443"/>
    <col min="3860" max="3861" width="0" style="443" hidden="1" customWidth="1"/>
    <col min="3862" max="3866" width="9.140625" style="443"/>
    <col min="3867" max="3867" width="3.85546875" style="443" customWidth="1"/>
    <col min="3868" max="3868" width="9.140625" style="443" customWidth="1"/>
    <col min="3869" max="3869" width="13.28515625" style="443" customWidth="1"/>
    <col min="3870" max="3870" width="9.140625" style="443" customWidth="1"/>
    <col min="3871" max="3873" width="9.140625" style="443"/>
    <col min="3874" max="3874" width="11.85546875" style="443" customWidth="1"/>
    <col min="3875" max="3875" width="10.140625" style="443" customWidth="1"/>
    <col min="3876" max="3879" width="9.140625" style="443"/>
    <col min="3880" max="3881" width="0" style="443" hidden="1" customWidth="1"/>
    <col min="3882" max="3886" width="9.140625" style="443"/>
    <col min="3887" max="3887" width="3.140625" style="443" customWidth="1"/>
    <col min="3888" max="3906" width="9.140625" style="443"/>
    <col min="3907" max="3907" width="2.42578125" style="443" customWidth="1"/>
    <col min="3908" max="3908" width="13.42578125" style="443" bestFit="1" customWidth="1"/>
    <col min="3909" max="3911" width="13.42578125" style="443" customWidth="1"/>
    <col min="3912" max="3912" width="18.28515625" style="443" bestFit="1" customWidth="1"/>
    <col min="3913" max="3913" width="15" style="443" bestFit="1" customWidth="1"/>
    <col min="3914" max="3914" width="14.140625" style="443" customWidth="1"/>
    <col min="3915" max="3915" width="3.42578125" style="443" customWidth="1"/>
    <col min="3916" max="4079" width="9.140625" style="443"/>
    <col min="4080" max="4080" width="14" style="443" customWidth="1"/>
    <col min="4081" max="4083" width="15.28515625" style="443" customWidth="1"/>
    <col min="4084" max="4084" width="2.5703125" style="443" customWidth="1"/>
    <col min="4085" max="4085" width="15.28515625" style="443" bestFit="1" customWidth="1"/>
    <col min="4086" max="4102" width="9.140625" style="443" customWidth="1"/>
    <col min="4103" max="4103" width="9.42578125" style="443" customWidth="1"/>
    <col min="4104" max="4104" width="15.140625" style="443" customWidth="1"/>
    <col min="4105" max="4105" width="11" style="443" customWidth="1"/>
    <col min="4106" max="4109" width="9.140625" style="443"/>
    <col min="4110" max="4111" width="0" style="443" hidden="1" customWidth="1"/>
    <col min="4112" max="4115" width="9.140625" style="443"/>
    <col min="4116" max="4117" width="0" style="443" hidden="1" customWidth="1"/>
    <col min="4118" max="4122" width="9.140625" style="443"/>
    <col min="4123" max="4123" width="3.85546875" style="443" customWidth="1"/>
    <col min="4124" max="4124" width="9.140625" style="443" customWidth="1"/>
    <col min="4125" max="4125" width="13.28515625" style="443" customWidth="1"/>
    <col min="4126" max="4126" width="9.140625" style="443" customWidth="1"/>
    <col min="4127" max="4129" width="9.140625" style="443"/>
    <col min="4130" max="4130" width="11.85546875" style="443" customWidth="1"/>
    <col min="4131" max="4131" width="10.140625" style="443" customWidth="1"/>
    <col min="4132" max="4135" width="9.140625" style="443"/>
    <col min="4136" max="4137" width="0" style="443" hidden="1" customWidth="1"/>
    <col min="4138" max="4142" width="9.140625" style="443"/>
    <col min="4143" max="4143" width="3.140625" style="443" customWidth="1"/>
    <col min="4144" max="4162" width="9.140625" style="443"/>
    <col min="4163" max="4163" width="2.42578125" style="443" customWidth="1"/>
    <col min="4164" max="4164" width="13.42578125" style="443" bestFit="1" customWidth="1"/>
    <col min="4165" max="4167" width="13.42578125" style="443" customWidth="1"/>
    <col min="4168" max="4168" width="18.28515625" style="443" bestFit="1" customWidth="1"/>
    <col min="4169" max="4169" width="15" style="443" bestFit="1" customWidth="1"/>
    <col min="4170" max="4170" width="14.140625" style="443" customWidth="1"/>
    <col min="4171" max="4171" width="3.42578125" style="443" customWidth="1"/>
    <col min="4172" max="4335" width="9.140625" style="443"/>
    <col min="4336" max="4336" width="14" style="443" customWidth="1"/>
    <col min="4337" max="4339" width="15.28515625" style="443" customWidth="1"/>
    <col min="4340" max="4340" width="2.5703125" style="443" customWidth="1"/>
    <col min="4341" max="4341" width="15.28515625" style="443" bestFit="1" customWidth="1"/>
    <col min="4342" max="4358" width="9.140625" style="443" customWidth="1"/>
    <col min="4359" max="4359" width="9.42578125" style="443" customWidth="1"/>
    <col min="4360" max="4360" width="15.140625" style="443" customWidth="1"/>
    <col min="4361" max="4361" width="11" style="443" customWidth="1"/>
    <col min="4362" max="4365" width="9.140625" style="443"/>
    <col min="4366" max="4367" width="0" style="443" hidden="1" customWidth="1"/>
    <col min="4368" max="4371" width="9.140625" style="443"/>
    <col min="4372" max="4373" width="0" style="443" hidden="1" customWidth="1"/>
    <col min="4374" max="4378" width="9.140625" style="443"/>
    <col min="4379" max="4379" width="3.85546875" style="443" customWidth="1"/>
    <col min="4380" max="4380" width="9.140625" style="443" customWidth="1"/>
    <col min="4381" max="4381" width="13.28515625" style="443" customWidth="1"/>
    <col min="4382" max="4382" width="9.140625" style="443" customWidth="1"/>
    <col min="4383" max="4385" width="9.140625" style="443"/>
    <col min="4386" max="4386" width="11.85546875" style="443" customWidth="1"/>
    <col min="4387" max="4387" width="10.140625" style="443" customWidth="1"/>
    <col min="4388" max="4391" width="9.140625" style="443"/>
    <col min="4392" max="4393" width="0" style="443" hidden="1" customWidth="1"/>
    <col min="4394" max="4398" width="9.140625" style="443"/>
    <col min="4399" max="4399" width="3.140625" style="443" customWidth="1"/>
    <col min="4400" max="4418" width="9.140625" style="443"/>
    <col min="4419" max="4419" width="2.42578125" style="443" customWidth="1"/>
    <col min="4420" max="4420" width="13.42578125" style="443" bestFit="1" customWidth="1"/>
    <col min="4421" max="4423" width="13.42578125" style="443" customWidth="1"/>
    <col min="4424" max="4424" width="18.28515625" style="443" bestFit="1" customWidth="1"/>
    <col min="4425" max="4425" width="15" style="443" bestFit="1" customWidth="1"/>
    <col min="4426" max="4426" width="14.140625" style="443" customWidth="1"/>
    <col min="4427" max="4427" width="3.42578125" style="443" customWidth="1"/>
    <col min="4428" max="4591" width="9.140625" style="443"/>
    <col min="4592" max="4592" width="14" style="443" customWidth="1"/>
    <col min="4593" max="4595" width="15.28515625" style="443" customWidth="1"/>
    <col min="4596" max="4596" width="2.5703125" style="443" customWidth="1"/>
    <col min="4597" max="4597" width="15.28515625" style="443" bestFit="1" customWidth="1"/>
    <col min="4598" max="4614" width="9.140625" style="443" customWidth="1"/>
    <col min="4615" max="4615" width="9.42578125" style="443" customWidth="1"/>
    <col min="4616" max="4616" width="15.140625" style="443" customWidth="1"/>
    <col min="4617" max="4617" width="11" style="443" customWidth="1"/>
    <col min="4618" max="4621" width="9.140625" style="443"/>
    <col min="4622" max="4623" width="0" style="443" hidden="1" customWidth="1"/>
    <col min="4624" max="4627" width="9.140625" style="443"/>
    <col min="4628" max="4629" width="0" style="443" hidden="1" customWidth="1"/>
    <col min="4630" max="4634" width="9.140625" style="443"/>
    <col min="4635" max="4635" width="3.85546875" style="443" customWidth="1"/>
    <col min="4636" max="4636" width="9.140625" style="443" customWidth="1"/>
    <col min="4637" max="4637" width="13.28515625" style="443" customWidth="1"/>
    <col min="4638" max="4638" width="9.140625" style="443" customWidth="1"/>
    <col min="4639" max="4641" width="9.140625" style="443"/>
    <col min="4642" max="4642" width="11.85546875" style="443" customWidth="1"/>
    <col min="4643" max="4643" width="10.140625" style="443" customWidth="1"/>
    <col min="4644" max="4647" width="9.140625" style="443"/>
    <col min="4648" max="4649" width="0" style="443" hidden="1" customWidth="1"/>
    <col min="4650" max="4654" width="9.140625" style="443"/>
    <col min="4655" max="4655" width="3.140625" style="443" customWidth="1"/>
    <col min="4656" max="4674" width="9.140625" style="443"/>
    <col min="4675" max="4675" width="2.42578125" style="443" customWidth="1"/>
    <col min="4676" max="4676" width="13.42578125" style="443" bestFit="1" customWidth="1"/>
    <col min="4677" max="4679" width="13.42578125" style="443" customWidth="1"/>
    <col min="4680" max="4680" width="18.28515625" style="443" bestFit="1" customWidth="1"/>
    <col min="4681" max="4681" width="15" style="443" bestFit="1" customWidth="1"/>
    <col min="4682" max="4682" width="14.140625" style="443" customWidth="1"/>
    <col min="4683" max="4683" width="3.42578125" style="443" customWidth="1"/>
    <col min="4684" max="4847" width="9.140625" style="443"/>
    <col min="4848" max="4848" width="14" style="443" customWidth="1"/>
    <col min="4849" max="4851" width="15.28515625" style="443" customWidth="1"/>
    <col min="4852" max="4852" width="2.5703125" style="443" customWidth="1"/>
    <col min="4853" max="4853" width="15.28515625" style="443" bestFit="1" customWidth="1"/>
    <col min="4854" max="4870" width="9.140625" style="443" customWidth="1"/>
    <col min="4871" max="4871" width="9.42578125" style="443" customWidth="1"/>
    <col min="4872" max="4872" width="15.140625" style="443" customWidth="1"/>
    <col min="4873" max="4873" width="11" style="443" customWidth="1"/>
    <col min="4874" max="4877" width="9.140625" style="443"/>
    <col min="4878" max="4879" width="0" style="443" hidden="1" customWidth="1"/>
    <col min="4880" max="4883" width="9.140625" style="443"/>
    <col min="4884" max="4885" width="0" style="443" hidden="1" customWidth="1"/>
    <col min="4886" max="4890" width="9.140625" style="443"/>
    <col min="4891" max="4891" width="3.85546875" style="443" customWidth="1"/>
    <col min="4892" max="4892" width="9.140625" style="443" customWidth="1"/>
    <col min="4893" max="4893" width="13.28515625" style="443" customWidth="1"/>
    <col min="4894" max="4894" width="9.140625" style="443" customWidth="1"/>
    <col min="4895" max="4897" width="9.140625" style="443"/>
    <col min="4898" max="4898" width="11.85546875" style="443" customWidth="1"/>
    <col min="4899" max="4899" width="10.140625" style="443" customWidth="1"/>
    <col min="4900" max="4903" width="9.140625" style="443"/>
    <col min="4904" max="4905" width="0" style="443" hidden="1" customWidth="1"/>
    <col min="4906" max="4910" width="9.140625" style="443"/>
    <col min="4911" max="4911" width="3.140625" style="443" customWidth="1"/>
    <col min="4912" max="4930" width="9.140625" style="443"/>
    <col min="4931" max="4931" width="2.42578125" style="443" customWidth="1"/>
    <col min="4932" max="4932" width="13.42578125" style="443" bestFit="1" customWidth="1"/>
    <col min="4933" max="4935" width="13.42578125" style="443" customWidth="1"/>
    <col min="4936" max="4936" width="18.28515625" style="443" bestFit="1" customWidth="1"/>
    <col min="4937" max="4937" width="15" style="443" bestFit="1" customWidth="1"/>
    <col min="4938" max="4938" width="14.140625" style="443" customWidth="1"/>
    <col min="4939" max="4939" width="3.42578125" style="443" customWidth="1"/>
    <col min="4940" max="5103" width="9.140625" style="443"/>
    <col min="5104" max="5104" width="14" style="443" customWidth="1"/>
    <col min="5105" max="5107" width="15.28515625" style="443" customWidth="1"/>
    <col min="5108" max="5108" width="2.5703125" style="443" customWidth="1"/>
    <col min="5109" max="5109" width="15.28515625" style="443" bestFit="1" customWidth="1"/>
    <col min="5110" max="5126" width="9.140625" style="443" customWidth="1"/>
    <col min="5127" max="5127" width="9.42578125" style="443" customWidth="1"/>
    <col min="5128" max="5128" width="15.140625" style="443" customWidth="1"/>
    <col min="5129" max="5129" width="11" style="443" customWidth="1"/>
    <col min="5130" max="5133" width="9.140625" style="443"/>
    <col min="5134" max="5135" width="0" style="443" hidden="1" customWidth="1"/>
    <col min="5136" max="5139" width="9.140625" style="443"/>
    <col min="5140" max="5141" width="0" style="443" hidden="1" customWidth="1"/>
    <col min="5142" max="5146" width="9.140625" style="443"/>
    <col min="5147" max="5147" width="3.85546875" style="443" customWidth="1"/>
    <col min="5148" max="5148" width="9.140625" style="443" customWidth="1"/>
    <col min="5149" max="5149" width="13.28515625" style="443" customWidth="1"/>
    <col min="5150" max="5150" width="9.140625" style="443" customWidth="1"/>
    <col min="5151" max="5153" width="9.140625" style="443"/>
    <col min="5154" max="5154" width="11.85546875" style="443" customWidth="1"/>
    <col min="5155" max="5155" width="10.140625" style="443" customWidth="1"/>
    <col min="5156" max="5159" width="9.140625" style="443"/>
    <col min="5160" max="5161" width="0" style="443" hidden="1" customWidth="1"/>
    <col min="5162" max="5166" width="9.140625" style="443"/>
    <col min="5167" max="5167" width="3.140625" style="443" customWidth="1"/>
    <col min="5168" max="5186" width="9.140625" style="443"/>
    <col min="5187" max="5187" width="2.42578125" style="443" customWidth="1"/>
    <col min="5188" max="5188" width="13.42578125" style="443" bestFit="1" customWidth="1"/>
    <col min="5189" max="5191" width="13.42578125" style="443" customWidth="1"/>
    <col min="5192" max="5192" width="18.28515625" style="443" bestFit="1" customWidth="1"/>
    <col min="5193" max="5193" width="15" style="443" bestFit="1" customWidth="1"/>
    <col min="5194" max="5194" width="14.140625" style="443" customWidth="1"/>
    <col min="5195" max="5195" width="3.42578125" style="443" customWidth="1"/>
    <col min="5196" max="5359" width="9.140625" style="443"/>
    <col min="5360" max="5360" width="14" style="443" customWidth="1"/>
    <col min="5361" max="5363" width="15.28515625" style="443" customWidth="1"/>
    <col min="5364" max="5364" width="2.5703125" style="443" customWidth="1"/>
    <col min="5365" max="5365" width="15.28515625" style="443" bestFit="1" customWidth="1"/>
    <col min="5366" max="5382" width="9.140625" style="443" customWidth="1"/>
    <col min="5383" max="5383" width="9.42578125" style="443" customWidth="1"/>
    <col min="5384" max="5384" width="15.140625" style="443" customWidth="1"/>
    <col min="5385" max="5385" width="11" style="443" customWidth="1"/>
    <col min="5386" max="5389" width="9.140625" style="443"/>
    <col min="5390" max="5391" width="0" style="443" hidden="1" customWidth="1"/>
    <col min="5392" max="5395" width="9.140625" style="443"/>
    <col min="5396" max="5397" width="0" style="443" hidden="1" customWidth="1"/>
    <col min="5398" max="5402" width="9.140625" style="443"/>
    <col min="5403" max="5403" width="3.85546875" style="443" customWidth="1"/>
    <col min="5404" max="5404" width="9.140625" style="443" customWidth="1"/>
    <col min="5405" max="5405" width="13.28515625" style="443" customWidth="1"/>
    <col min="5406" max="5406" width="9.140625" style="443" customWidth="1"/>
    <col min="5407" max="5409" width="9.140625" style="443"/>
    <col min="5410" max="5410" width="11.85546875" style="443" customWidth="1"/>
    <col min="5411" max="5411" width="10.140625" style="443" customWidth="1"/>
    <col min="5412" max="5415" width="9.140625" style="443"/>
    <col min="5416" max="5417" width="0" style="443" hidden="1" customWidth="1"/>
    <col min="5418" max="5422" width="9.140625" style="443"/>
    <col min="5423" max="5423" width="3.140625" style="443" customWidth="1"/>
    <col min="5424" max="5442" width="9.140625" style="443"/>
    <col min="5443" max="5443" width="2.42578125" style="443" customWidth="1"/>
    <col min="5444" max="5444" width="13.42578125" style="443" bestFit="1" customWidth="1"/>
    <col min="5445" max="5447" width="13.42578125" style="443" customWidth="1"/>
    <col min="5448" max="5448" width="18.28515625" style="443" bestFit="1" customWidth="1"/>
    <col min="5449" max="5449" width="15" style="443" bestFit="1" customWidth="1"/>
    <col min="5450" max="5450" width="14.140625" style="443" customWidth="1"/>
    <col min="5451" max="5451" width="3.42578125" style="443" customWidth="1"/>
    <col min="5452" max="5615" width="9.140625" style="443"/>
    <col min="5616" max="5616" width="14" style="443" customWidth="1"/>
    <col min="5617" max="5619" width="15.28515625" style="443" customWidth="1"/>
    <col min="5620" max="5620" width="2.5703125" style="443" customWidth="1"/>
    <col min="5621" max="5621" width="15.28515625" style="443" bestFit="1" customWidth="1"/>
    <col min="5622" max="5638" width="9.140625" style="443" customWidth="1"/>
    <col min="5639" max="5639" width="9.42578125" style="443" customWidth="1"/>
    <col min="5640" max="5640" width="15.140625" style="443" customWidth="1"/>
    <col min="5641" max="5641" width="11" style="443" customWidth="1"/>
    <col min="5642" max="5645" width="9.140625" style="443"/>
    <col min="5646" max="5647" width="0" style="443" hidden="1" customWidth="1"/>
    <col min="5648" max="5651" width="9.140625" style="443"/>
    <col min="5652" max="5653" width="0" style="443" hidden="1" customWidth="1"/>
    <col min="5654" max="5658" width="9.140625" style="443"/>
    <col min="5659" max="5659" width="3.85546875" style="443" customWidth="1"/>
    <col min="5660" max="5660" width="9.140625" style="443" customWidth="1"/>
    <col min="5661" max="5661" width="13.28515625" style="443" customWidth="1"/>
    <col min="5662" max="5662" width="9.140625" style="443" customWidth="1"/>
    <col min="5663" max="5665" width="9.140625" style="443"/>
    <col min="5666" max="5666" width="11.85546875" style="443" customWidth="1"/>
    <col min="5667" max="5667" width="10.140625" style="443" customWidth="1"/>
    <col min="5668" max="5671" width="9.140625" style="443"/>
    <col min="5672" max="5673" width="0" style="443" hidden="1" customWidth="1"/>
    <col min="5674" max="5678" width="9.140625" style="443"/>
    <col min="5679" max="5679" width="3.140625" style="443" customWidth="1"/>
    <col min="5680" max="5698" width="9.140625" style="443"/>
    <col min="5699" max="5699" width="2.42578125" style="443" customWidth="1"/>
    <col min="5700" max="5700" width="13.42578125" style="443" bestFit="1" customWidth="1"/>
    <col min="5701" max="5703" width="13.42578125" style="443" customWidth="1"/>
    <col min="5704" max="5704" width="18.28515625" style="443" bestFit="1" customWidth="1"/>
    <col min="5705" max="5705" width="15" style="443" bestFit="1" customWidth="1"/>
    <col min="5706" max="5706" width="14.140625" style="443" customWidth="1"/>
    <col min="5707" max="5707" width="3.42578125" style="443" customWidth="1"/>
    <col min="5708" max="5871" width="9.140625" style="443"/>
    <col min="5872" max="5872" width="14" style="443" customWidth="1"/>
    <col min="5873" max="5875" width="15.28515625" style="443" customWidth="1"/>
    <col min="5876" max="5876" width="2.5703125" style="443" customWidth="1"/>
    <col min="5877" max="5877" width="15.28515625" style="443" bestFit="1" customWidth="1"/>
    <col min="5878" max="5894" width="9.140625" style="443" customWidth="1"/>
    <col min="5895" max="5895" width="9.42578125" style="443" customWidth="1"/>
    <col min="5896" max="5896" width="15.140625" style="443" customWidth="1"/>
    <col min="5897" max="5897" width="11" style="443" customWidth="1"/>
    <col min="5898" max="5901" width="9.140625" style="443"/>
    <col min="5902" max="5903" width="0" style="443" hidden="1" customWidth="1"/>
    <col min="5904" max="5907" width="9.140625" style="443"/>
    <col min="5908" max="5909" width="0" style="443" hidden="1" customWidth="1"/>
    <col min="5910" max="5914" width="9.140625" style="443"/>
    <col min="5915" max="5915" width="3.85546875" style="443" customWidth="1"/>
    <col min="5916" max="5916" width="9.140625" style="443" customWidth="1"/>
    <col min="5917" max="5917" width="13.28515625" style="443" customWidth="1"/>
    <col min="5918" max="5918" width="9.140625" style="443" customWidth="1"/>
    <col min="5919" max="5921" width="9.140625" style="443"/>
    <col min="5922" max="5922" width="11.85546875" style="443" customWidth="1"/>
    <col min="5923" max="5923" width="10.140625" style="443" customWidth="1"/>
    <col min="5924" max="5927" width="9.140625" style="443"/>
    <col min="5928" max="5929" width="0" style="443" hidden="1" customWidth="1"/>
    <col min="5930" max="5934" width="9.140625" style="443"/>
    <col min="5935" max="5935" width="3.140625" style="443" customWidth="1"/>
    <col min="5936" max="5954" width="9.140625" style="443"/>
    <col min="5955" max="5955" width="2.42578125" style="443" customWidth="1"/>
    <col min="5956" max="5956" width="13.42578125" style="443" bestFit="1" customWidth="1"/>
    <col min="5957" max="5959" width="13.42578125" style="443" customWidth="1"/>
    <col min="5960" max="5960" width="18.28515625" style="443" bestFit="1" customWidth="1"/>
    <col min="5961" max="5961" width="15" style="443" bestFit="1" customWidth="1"/>
    <col min="5962" max="5962" width="14.140625" style="443" customWidth="1"/>
    <col min="5963" max="5963" width="3.42578125" style="443" customWidth="1"/>
    <col min="5964" max="6127" width="9.140625" style="443"/>
    <col min="6128" max="6128" width="14" style="443" customWidth="1"/>
    <col min="6129" max="6131" width="15.28515625" style="443" customWidth="1"/>
    <col min="6132" max="6132" width="2.5703125" style="443" customWidth="1"/>
    <col min="6133" max="6133" width="15.28515625" style="443" bestFit="1" customWidth="1"/>
    <col min="6134" max="6150" width="9.140625" style="443" customWidth="1"/>
    <col min="6151" max="6151" width="9.42578125" style="443" customWidth="1"/>
    <col min="6152" max="6152" width="15.140625" style="443" customWidth="1"/>
    <col min="6153" max="6153" width="11" style="443" customWidth="1"/>
    <col min="6154" max="6157" width="9.140625" style="443"/>
    <col min="6158" max="6159" width="0" style="443" hidden="1" customWidth="1"/>
    <col min="6160" max="6163" width="9.140625" style="443"/>
    <col min="6164" max="6165" width="0" style="443" hidden="1" customWidth="1"/>
    <col min="6166" max="6170" width="9.140625" style="443"/>
    <col min="6171" max="6171" width="3.85546875" style="443" customWidth="1"/>
    <col min="6172" max="6172" width="9.140625" style="443" customWidth="1"/>
    <col min="6173" max="6173" width="13.28515625" style="443" customWidth="1"/>
    <col min="6174" max="6174" width="9.140625" style="443" customWidth="1"/>
    <col min="6175" max="6177" width="9.140625" style="443"/>
    <col min="6178" max="6178" width="11.85546875" style="443" customWidth="1"/>
    <col min="6179" max="6179" width="10.140625" style="443" customWidth="1"/>
    <col min="6180" max="6183" width="9.140625" style="443"/>
    <col min="6184" max="6185" width="0" style="443" hidden="1" customWidth="1"/>
    <col min="6186" max="6190" width="9.140625" style="443"/>
    <col min="6191" max="6191" width="3.140625" style="443" customWidth="1"/>
    <col min="6192" max="6210" width="9.140625" style="443"/>
    <col min="6211" max="6211" width="2.42578125" style="443" customWidth="1"/>
    <col min="6212" max="6212" width="13.42578125" style="443" bestFit="1" customWidth="1"/>
    <col min="6213" max="6215" width="13.42578125" style="443" customWidth="1"/>
    <col min="6216" max="6216" width="18.28515625" style="443" bestFit="1" customWidth="1"/>
    <col min="6217" max="6217" width="15" style="443" bestFit="1" customWidth="1"/>
    <col min="6218" max="6218" width="14.140625" style="443" customWidth="1"/>
    <col min="6219" max="6219" width="3.42578125" style="443" customWidth="1"/>
    <col min="6220" max="6383" width="9.140625" style="443"/>
    <col min="6384" max="6384" width="14" style="443" customWidth="1"/>
    <col min="6385" max="6387" width="15.28515625" style="443" customWidth="1"/>
    <col min="6388" max="6388" width="2.5703125" style="443" customWidth="1"/>
    <col min="6389" max="6389" width="15.28515625" style="443" bestFit="1" customWidth="1"/>
    <col min="6390" max="6406" width="9.140625" style="443" customWidth="1"/>
    <col min="6407" max="6407" width="9.42578125" style="443" customWidth="1"/>
    <col min="6408" max="6408" width="15.140625" style="443" customWidth="1"/>
    <col min="6409" max="6409" width="11" style="443" customWidth="1"/>
    <col min="6410" max="6413" width="9.140625" style="443"/>
    <col min="6414" max="6415" width="0" style="443" hidden="1" customWidth="1"/>
    <col min="6416" max="6419" width="9.140625" style="443"/>
    <col min="6420" max="6421" width="0" style="443" hidden="1" customWidth="1"/>
    <col min="6422" max="6426" width="9.140625" style="443"/>
    <col min="6427" max="6427" width="3.85546875" style="443" customWidth="1"/>
    <col min="6428" max="6428" width="9.140625" style="443" customWidth="1"/>
    <col min="6429" max="6429" width="13.28515625" style="443" customWidth="1"/>
    <col min="6430" max="6430" width="9.140625" style="443" customWidth="1"/>
    <col min="6431" max="6433" width="9.140625" style="443"/>
    <col min="6434" max="6434" width="11.85546875" style="443" customWidth="1"/>
    <col min="6435" max="6435" width="10.140625" style="443" customWidth="1"/>
    <col min="6436" max="6439" width="9.140625" style="443"/>
    <col min="6440" max="6441" width="0" style="443" hidden="1" customWidth="1"/>
    <col min="6442" max="6446" width="9.140625" style="443"/>
    <col min="6447" max="6447" width="3.140625" style="443" customWidth="1"/>
    <col min="6448" max="6466" width="9.140625" style="443"/>
    <col min="6467" max="6467" width="2.42578125" style="443" customWidth="1"/>
    <col min="6468" max="6468" width="13.42578125" style="443" bestFit="1" customWidth="1"/>
    <col min="6469" max="6471" width="13.42578125" style="443" customWidth="1"/>
    <col min="6472" max="6472" width="18.28515625" style="443" bestFit="1" customWidth="1"/>
    <col min="6473" max="6473" width="15" style="443" bestFit="1" customWidth="1"/>
    <col min="6474" max="6474" width="14.140625" style="443" customWidth="1"/>
    <col min="6475" max="6475" width="3.42578125" style="443" customWidth="1"/>
    <col min="6476" max="6639" width="9.140625" style="443"/>
    <col min="6640" max="6640" width="14" style="443" customWidth="1"/>
    <col min="6641" max="6643" width="15.28515625" style="443" customWidth="1"/>
    <col min="6644" max="6644" width="2.5703125" style="443" customWidth="1"/>
    <col min="6645" max="6645" width="15.28515625" style="443" bestFit="1" customWidth="1"/>
    <col min="6646" max="6662" width="9.140625" style="443" customWidth="1"/>
    <col min="6663" max="6663" width="9.42578125" style="443" customWidth="1"/>
    <col min="6664" max="6664" width="15.140625" style="443" customWidth="1"/>
    <col min="6665" max="6665" width="11" style="443" customWidth="1"/>
    <col min="6666" max="6669" width="9.140625" style="443"/>
    <col min="6670" max="6671" width="0" style="443" hidden="1" customWidth="1"/>
    <col min="6672" max="6675" width="9.140625" style="443"/>
    <col min="6676" max="6677" width="0" style="443" hidden="1" customWidth="1"/>
    <col min="6678" max="6682" width="9.140625" style="443"/>
    <col min="6683" max="6683" width="3.85546875" style="443" customWidth="1"/>
    <col min="6684" max="6684" width="9.140625" style="443" customWidth="1"/>
    <col min="6685" max="6685" width="13.28515625" style="443" customWidth="1"/>
    <col min="6686" max="6686" width="9.140625" style="443" customWidth="1"/>
    <col min="6687" max="6689" width="9.140625" style="443"/>
    <col min="6690" max="6690" width="11.85546875" style="443" customWidth="1"/>
    <col min="6691" max="6691" width="10.140625" style="443" customWidth="1"/>
    <col min="6692" max="6695" width="9.140625" style="443"/>
    <col min="6696" max="6697" width="0" style="443" hidden="1" customWidth="1"/>
    <col min="6698" max="6702" width="9.140625" style="443"/>
    <col min="6703" max="6703" width="3.140625" style="443" customWidth="1"/>
    <col min="6704" max="6722" width="9.140625" style="443"/>
    <col min="6723" max="6723" width="2.42578125" style="443" customWidth="1"/>
    <col min="6724" max="6724" width="13.42578125" style="443" bestFit="1" customWidth="1"/>
    <col min="6725" max="6727" width="13.42578125" style="443" customWidth="1"/>
    <col min="6728" max="6728" width="18.28515625" style="443" bestFit="1" customWidth="1"/>
    <col min="6729" max="6729" width="15" style="443" bestFit="1" customWidth="1"/>
    <col min="6730" max="6730" width="14.140625" style="443" customWidth="1"/>
    <col min="6731" max="6731" width="3.42578125" style="443" customWidth="1"/>
    <col min="6732" max="6895" width="9.140625" style="443"/>
    <col min="6896" max="6896" width="14" style="443" customWidth="1"/>
    <col min="6897" max="6899" width="15.28515625" style="443" customWidth="1"/>
    <col min="6900" max="6900" width="2.5703125" style="443" customWidth="1"/>
    <col min="6901" max="6901" width="15.28515625" style="443" bestFit="1" customWidth="1"/>
    <col min="6902" max="6918" width="9.140625" style="443" customWidth="1"/>
    <col min="6919" max="6919" width="9.42578125" style="443" customWidth="1"/>
    <col min="6920" max="6920" width="15.140625" style="443" customWidth="1"/>
    <col min="6921" max="6921" width="11" style="443" customWidth="1"/>
    <col min="6922" max="6925" width="9.140625" style="443"/>
    <col min="6926" max="6927" width="0" style="443" hidden="1" customWidth="1"/>
    <col min="6928" max="6931" width="9.140625" style="443"/>
    <col min="6932" max="6933" width="0" style="443" hidden="1" customWidth="1"/>
    <col min="6934" max="6938" width="9.140625" style="443"/>
    <col min="6939" max="6939" width="3.85546875" style="443" customWidth="1"/>
    <col min="6940" max="6940" width="9.140625" style="443" customWidth="1"/>
    <col min="6941" max="6941" width="13.28515625" style="443" customWidth="1"/>
    <col min="6942" max="6942" width="9.140625" style="443" customWidth="1"/>
    <col min="6943" max="6945" width="9.140625" style="443"/>
    <col min="6946" max="6946" width="11.85546875" style="443" customWidth="1"/>
    <col min="6947" max="6947" width="10.140625" style="443" customWidth="1"/>
    <col min="6948" max="6951" width="9.140625" style="443"/>
    <col min="6952" max="6953" width="0" style="443" hidden="1" customWidth="1"/>
    <col min="6954" max="6958" width="9.140625" style="443"/>
    <col min="6959" max="6959" width="3.140625" style="443" customWidth="1"/>
    <col min="6960" max="6978" width="9.140625" style="443"/>
    <col min="6979" max="6979" width="2.42578125" style="443" customWidth="1"/>
    <col min="6980" max="6980" width="13.42578125" style="443" bestFit="1" customWidth="1"/>
    <col min="6981" max="6983" width="13.42578125" style="443" customWidth="1"/>
    <col min="6984" max="6984" width="18.28515625" style="443" bestFit="1" customWidth="1"/>
    <col min="6985" max="6985" width="15" style="443" bestFit="1" customWidth="1"/>
    <col min="6986" max="6986" width="14.140625" style="443" customWidth="1"/>
    <col min="6987" max="6987" width="3.42578125" style="443" customWidth="1"/>
    <col min="6988" max="7151" width="9.140625" style="443"/>
    <col min="7152" max="7152" width="14" style="443" customWidth="1"/>
    <col min="7153" max="7155" width="15.28515625" style="443" customWidth="1"/>
    <col min="7156" max="7156" width="2.5703125" style="443" customWidth="1"/>
    <col min="7157" max="7157" width="15.28515625" style="443" bestFit="1" customWidth="1"/>
    <col min="7158" max="7174" width="9.140625" style="443" customWidth="1"/>
    <col min="7175" max="7175" width="9.42578125" style="443" customWidth="1"/>
    <col min="7176" max="7176" width="15.140625" style="443" customWidth="1"/>
    <col min="7177" max="7177" width="11" style="443" customWidth="1"/>
    <col min="7178" max="7181" width="9.140625" style="443"/>
    <col min="7182" max="7183" width="0" style="443" hidden="1" customWidth="1"/>
    <col min="7184" max="7187" width="9.140625" style="443"/>
    <col min="7188" max="7189" width="0" style="443" hidden="1" customWidth="1"/>
    <col min="7190" max="7194" width="9.140625" style="443"/>
    <col min="7195" max="7195" width="3.85546875" style="443" customWidth="1"/>
    <col min="7196" max="7196" width="9.140625" style="443" customWidth="1"/>
    <col min="7197" max="7197" width="13.28515625" style="443" customWidth="1"/>
    <col min="7198" max="7198" width="9.140625" style="443" customWidth="1"/>
    <col min="7199" max="7201" width="9.140625" style="443"/>
    <col min="7202" max="7202" width="11.85546875" style="443" customWidth="1"/>
    <col min="7203" max="7203" width="10.140625" style="443" customWidth="1"/>
    <col min="7204" max="7207" width="9.140625" style="443"/>
    <col min="7208" max="7209" width="0" style="443" hidden="1" customWidth="1"/>
    <col min="7210" max="7214" width="9.140625" style="443"/>
    <col min="7215" max="7215" width="3.140625" style="443" customWidth="1"/>
    <col min="7216" max="7234" width="9.140625" style="443"/>
    <col min="7235" max="7235" width="2.42578125" style="443" customWidth="1"/>
    <col min="7236" max="7236" width="13.42578125" style="443" bestFit="1" customWidth="1"/>
    <col min="7237" max="7239" width="13.42578125" style="443" customWidth="1"/>
    <col min="7240" max="7240" width="18.28515625" style="443" bestFit="1" customWidth="1"/>
    <col min="7241" max="7241" width="15" style="443" bestFit="1" customWidth="1"/>
    <col min="7242" max="7242" width="14.140625" style="443" customWidth="1"/>
    <col min="7243" max="7243" width="3.42578125" style="443" customWidth="1"/>
    <col min="7244" max="7407" width="9.140625" style="443"/>
    <col min="7408" max="7408" width="14" style="443" customWidth="1"/>
    <col min="7409" max="7411" width="15.28515625" style="443" customWidth="1"/>
    <col min="7412" max="7412" width="2.5703125" style="443" customWidth="1"/>
    <col min="7413" max="7413" width="15.28515625" style="443" bestFit="1" customWidth="1"/>
    <col min="7414" max="7430" width="9.140625" style="443" customWidth="1"/>
    <col min="7431" max="7431" width="9.42578125" style="443" customWidth="1"/>
    <col min="7432" max="7432" width="15.140625" style="443" customWidth="1"/>
    <col min="7433" max="7433" width="11" style="443" customWidth="1"/>
    <col min="7434" max="7437" width="9.140625" style="443"/>
    <col min="7438" max="7439" width="0" style="443" hidden="1" customWidth="1"/>
    <col min="7440" max="7443" width="9.140625" style="443"/>
    <col min="7444" max="7445" width="0" style="443" hidden="1" customWidth="1"/>
    <col min="7446" max="7450" width="9.140625" style="443"/>
    <col min="7451" max="7451" width="3.85546875" style="443" customWidth="1"/>
    <col min="7452" max="7452" width="9.140625" style="443" customWidth="1"/>
    <col min="7453" max="7453" width="13.28515625" style="443" customWidth="1"/>
    <col min="7454" max="7454" width="9.140625" style="443" customWidth="1"/>
    <col min="7455" max="7457" width="9.140625" style="443"/>
    <col min="7458" max="7458" width="11.85546875" style="443" customWidth="1"/>
    <col min="7459" max="7459" width="10.140625" style="443" customWidth="1"/>
    <col min="7460" max="7463" width="9.140625" style="443"/>
    <col min="7464" max="7465" width="0" style="443" hidden="1" customWidth="1"/>
    <col min="7466" max="7470" width="9.140625" style="443"/>
    <col min="7471" max="7471" width="3.140625" style="443" customWidth="1"/>
    <col min="7472" max="7490" width="9.140625" style="443"/>
    <col min="7491" max="7491" width="2.42578125" style="443" customWidth="1"/>
    <col min="7492" max="7492" width="13.42578125" style="443" bestFit="1" customWidth="1"/>
    <col min="7493" max="7495" width="13.42578125" style="443" customWidth="1"/>
    <col min="7496" max="7496" width="18.28515625" style="443" bestFit="1" customWidth="1"/>
    <col min="7497" max="7497" width="15" style="443" bestFit="1" customWidth="1"/>
    <col min="7498" max="7498" width="14.140625" style="443" customWidth="1"/>
    <col min="7499" max="7499" width="3.42578125" style="443" customWidth="1"/>
    <col min="7500" max="7663" width="9.140625" style="443"/>
    <col min="7664" max="7664" width="14" style="443" customWidth="1"/>
    <col min="7665" max="7667" width="15.28515625" style="443" customWidth="1"/>
    <col min="7668" max="7668" width="2.5703125" style="443" customWidth="1"/>
    <col min="7669" max="7669" width="15.28515625" style="443" bestFit="1" customWidth="1"/>
    <col min="7670" max="7686" width="9.140625" style="443" customWidth="1"/>
    <col min="7687" max="7687" width="9.42578125" style="443" customWidth="1"/>
    <col min="7688" max="7688" width="15.140625" style="443" customWidth="1"/>
    <col min="7689" max="7689" width="11" style="443" customWidth="1"/>
    <col min="7690" max="7693" width="9.140625" style="443"/>
    <col min="7694" max="7695" width="0" style="443" hidden="1" customWidth="1"/>
    <col min="7696" max="7699" width="9.140625" style="443"/>
    <col min="7700" max="7701" width="0" style="443" hidden="1" customWidth="1"/>
    <col min="7702" max="7706" width="9.140625" style="443"/>
    <col min="7707" max="7707" width="3.85546875" style="443" customWidth="1"/>
    <col min="7708" max="7708" width="9.140625" style="443" customWidth="1"/>
    <col min="7709" max="7709" width="13.28515625" style="443" customWidth="1"/>
    <col min="7710" max="7710" width="9.140625" style="443" customWidth="1"/>
    <col min="7711" max="7713" width="9.140625" style="443"/>
    <col min="7714" max="7714" width="11.85546875" style="443" customWidth="1"/>
    <col min="7715" max="7715" width="10.140625" style="443" customWidth="1"/>
    <col min="7716" max="7719" width="9.140625" style="443"/>
    <col min="7720" max="7721" width="0" style="443" hidden="1" customWidth="1"/>
    <col min="7722" max="7726" width="9.140625" style="443"/>
    <col min="7727" max="7727" width="3.140625" style="443" customWidth="1"/>
    <col min="7728" max="7746" width="9.140625" style="443"/>
    <col min="7747" max="7747" width="2.42578125" style="443" customWidth="1"/>
    <col min="7748" max="7748" width="13.42578125" style="443" bestFit="1" customWidth="1"/>
    <col min="7749" max="7751" width="13.42578125" style="443" customWidth="1"/>
    <col min="7752" max="7752" width="18.28515625" style="443" bestFit="1" customWidth="1"/>
    <col min="7753" max="7753" width="15" style="443" bestFit="1" customWidth="1"/>
    <col min="7754" max="7754" width="14.140625" style="443" customWidth="1"/>
    <col min="7755" max="7755" width="3.42578125" style="443" customWidth="1"/>
    <col min="7756" max="7919" width="9.140625" style="443"/>
    <col min="7920" max="7920" width="14" style="443" customWidth="1"/>
    <col min="7921" max="7923" width="15.28515625" style="443" customWidth="1"/>
    <col min="7924" max="7924" width="2.5703125" style="443" customWidth="1"/>
    <col min="7925" max="7925" width="15.28515625" style="443" bestFit="1" customWidth="1"/>
    <col min="7926" max="7942" width="9.140625" style="443" customWidth="1"/>
    <col min="7943" max="7943" width="9.42578125" style="443" customWidth="1"/>
    <col min="7944" max="7944" width="15.140625" style="443" customWidth="1"/>
    <col min="7945" max="7945" width="11" style="443" customWidth="1"/>
    <col min="7946" max="7949" width="9.140625" style="443"/>
    <col min="7950" max="7951" width="0" style="443" hidden="1" customWidth="1"/>
    <col min="7952" max="7955" width="9.140625" style="443"/>
    <col min="7956" max="7957" width="0" style="443" hidden="1" customWidth="1"/>
    <col min="7958" max="7962" width="9.140625" style="443"/>
    <col min="7963" max="7963" width="3.85546875" style="443" customWidth="1"/>
    <col min="7964" max="7964" width="9.140625" style="443" customWidth="1"/>
    <col min="7965" max="7965" width="13.28515625" style="443" customWidth="1"/>
    <col min="7966" max="7966" width="9.140625" style="443" customWidth="1"/>
    <col min="7967" max="7969" width="9.140625" style="443"/>
    <col min="7970" max="7970" width="11.85546875" style="443" customWidth="1"/>
    <col min="7971" max="7971" width="10.140625" style="443" customWidth="1"/>
    <col min="7972" max="7975" width="9.140625" style="443"/>
    <col min="7976" max="7977" width="0" style="443" hidden="1" customWidth="1"/>
    <col min="7978" max="7982" width="9.140625" style="443"/>
    <col min="7983" max="7983" width="3.140625" style="443" customWidth="1"/>
    <col min="7984" max="8002" width="9.140625" style="443"/>
    <col min="8003" max="8003" width="2.42578125" style="443" customWidth="1"/>
    <col min="8004" max="8004" width="13.42578125" style="443" bestFit="1" customWidth="1"/>
    <col min="8005" max="8007" width="13.42578125" style="443" customWidth="1"/>
    <col min="8008" max="8008" width="18.28515625" style="443" bestFit="1" customWidth="1"/>
    <col min="8009" max="8009" width="15" style="443" bestFit="1" customWidth="1"/>
    <col min="8010" max="8010" width="14.140625" style="443" customWidth="1"/>
    <col min="8011" max="8011" width="3.42578125" style="443" customWidth="1"/>
    <col min="8012" max="8175" width="9.140625" style="443"/>
    <col min="8176" max="8176" width="14" style="443" customWidth="1"/>
    <col min="8177" max="8179" width="15.28515625" style="443" customWidth="1"/>
    <col min="8180" max="8180" width="2.5703125" style="443" customWidth="1"/>
    <col min="8181" max="8181" width="15.28515625" style="443" bestFit="1" customWidth="1"/>
    <col min="8182" max="8198" width="9.140625" style="443" customWidth="1"/>
    <col min="8199" max="8199" width="9.42578125" style="443" customWidth="1"/>
    <col min="8200" max="8200" width="15.140625" style="443" customWidth="1"/>
    <col min="8201" max="8201" width="11" style="443" customWidth="1"/>
    <col min="8202" max="8205" width="9.140625" style="443"/>
    <col min="8206" max="8207" width="0" style="443" hidden="1" customWidth="1"/>
    <col min="8208" max="8211" width="9.140625" style="443"/>
    <col min="8212" max="8213" width="0" style="443" hidden="1" customWidth="1"/>
    <col min="8214" max="8218" width="9.140625" style="443"/>
    <col min="8219" max="8219" width="3.85546875" style="443" customWidth="1"/>
    <col min="8220" max="8220" width="9.140625" style="443" customWidth="1"/>
    <col min="8221" max="8221" width="13.28515625" style="443" customWidth="1"/>
    <col min="8222" max="8222" width="9.140625" style="443" customWidth="1"/>
    <col min="8223" max="8225" width="9.140625" style="443"/>
    <col min="8226" max="8226" width="11.85546875" style="443" customWidth="1"/>
    <col min="8227" max="8227" width="10.140625" style="443" customWidth="1"/>
    <col min="8228" max="8231" width="9.140625" style="443"/>
    <col min="8232" max="8233" width="0" style="443" hidden="1" customWidth="1"/>
    <col min="8234" max="8238" width="9.140625" style="443"/>
    <col min="8239" max="8239" width="3.140625" style="443" customWidth="1"/>
    <col min="8240" max="8258" width="9.140625" style="443"/>
    <col min="8259" max="8259" width="2.42578125" style="443" customWidth="1"/>
    <col min="8260" max="8260" width="13.42578125" style="443" bestFit="1" customWidth="1"/>
    <col min="8261" max="8263" width="13.42578125" style="443" customWidth="1"/>
    <col min="8264" max="8264" width="18.28515625" style="443" bestFit="1" customWidth="1"/>
    <col min="8265" max="8265" width="15" style="443" bestFit="1" customWidth="1"/>
    <col min="8266" max="8266" width="14.140625" style="443" customWidth="1"/>
    <col min="8267" max="8267" width="3.42578125" style="443" customWidth="1"/>
    <col min="8268" max="8431" width="9.140625" style="443"/>
    <col min="8432" max="8432" width="14" style="443" customWidth="1"/>
    <col min="8433" max="8435" width="15.28515625" style="443" customWidth="1"/>
    <col min="8436" max="8436" width="2.5703125" style="443" customWidth="1"/>
    <col min="8437" max="8437" width="15.28515625" style="443" bestFit="1" customWidth="1"/>
    <col min="8438" max="8454" width="9.140625" style="443" customWidth="1"/>
    <col min="8455" max="8455" width="9.42578125" style="443" customWidth="1"/>
    <col min="8456" max="8456" width="15.140625" style="443" customWidth="1"/>
    <col min="8457" max="8457" width="11" style="443" customWidth="1"/>
    <col min="8458" max="8461" width="9.140625" style="443"/>
    <col min="8462" max="8463" width="0" style="443" hidden="1" customWidth="1"/>
    <col min="8464" max="8467" width="9.140625" style="443"/>
    <col min="8468" max="8469" width="0" style="443" hidden="1" customWidth="1"/>
    <col min="8470" max="8474" width="9.140625" style="443"/>
    <col min="8475" max="8475" width="3.85546875" style="443" customWidth="1"/>
    <col min="8476" max="8476" width="9.140625" style="443" customWidth="1"/>
    <col min="8477" max="8477" width="13.28515625" style="443" customWidth="1"/>
    <col min="8478" max="8478" width="9.140625" style="443" customWidth="1"/>
    <col min="8479" max="8481" width="9.140625" style="443"/>
    <col min="8482" max="8482" width="11.85546875" style="443" customWidth="1"/>
    <col min="8483" max="8483" width="10.140625" style="443" customWidth="1"/>
    <col min="8484" max="8487" width="9.140625" style="443"/>
    <col min="8488" max="8489" width="0" style="443" hidden="1" customWidth="1"/>
    <col min="8490" max="8494" width="9.140625" style="443"/>
    <col min="8495" max="8495" width="3.140625" style="443" customWidth="1"/>
    <col min="8496" max="8514" width="9.140625" style="443"/>
    <col min="8515" max="8515" width="2.42578125" style="443" customWidth="1"/>
    <col min="8516" max="8516" width="13.42578125" style="443" bestFit="1" customWidth="1"/>
    <col min="8517" max="8519" width="13.42578125" style="443" customWidth="1"/>
    <col min="8520" max="8520" width="18.28515625" style="443" bestFit="1" customWidth="1"/>
    <col min="8521" max="8521" width="15" style="443" bestFit="1" customWidth="1"/>
    <col min="8522" max="8522" width="14.140625" style="443" customWidth="1"/>
    <col min="8523" max="8523" width="3.42578125" style="443" customWidth="1"/>
    <col min="8524" max="8687" width="9.140625" style="443"/>
    <col min="8688" max="8688" width="14" style="443" customWidth="1"/>
    <col min="8689" max="8691" width="15.28515625" style="443" customWidth="1"/>
    <col min="8692" max="8692" width="2.5703125" style="443" customWidth="1"/>
    <col min="8693" max="8693" width="15.28515625" style="443" bestFit="1" customWidth="1"/>
    <col min="8694" max="8710" width="9.140625" style="443" customWidth="1"/>
    <col min="8711" max="8711" width="9.42578125" style="443" customWidth="1"/>
    <col min="8712" max="8712" width="15.140625" style="443" customWidth="1"/>
    <col min="8713" max="8713" width="11" style="443" customWidth="1"/>
    <col min="8714" max="8717" width="9.140625" style="443"/>
    <col min="8718" max="8719" width="0" style="443" hidden="1" customWidth="1"/>
    <col min="8720" max="8723" width="9.140625" style="443"/>
    <col min="8724" max="8725" width="0" style="443" hidden="1" customWidth="1"/>
    <col min="8726" max="8730" width="9.140625" style="443"/>
    <col min="8731" max="8731" width="3.85546875" style="443" customWidth="1"/>
    <col min="8732" max="8732" width="9.140625" style="443" customWidth="1"/>
    <col min="8733" max="8733" width="13.28515625" style="443" customWidth="1"/>
    <col min="8734" max="8734" width="9.140625" style="443" customWidth="1"/>
    <col min="8735" max="8737" width="9.140625" style="443"/>
    <col min="8738" max="8738" width="11.85546875" style="443" customWidth="1"/>
    <col min="8739" max="8739" width="10.140625" style="443" customWidth="1"/>
    <col min="8740" max="8743" width="9.140625" style="443"/>
    <col min="8744" max="8745" width="0" style="443" hidden="1" customWidth="1"/>
    <col min="8746" max="8750" width="9.140625" style="443"/>
    <col min="8751" max="8751" width="3.140625" style="443" customWidth="1"/>
    <col min="8752" max="8770" width="9.140625" style="443"/>
    <col min="8771" max="8771" width="2.42578125" style="443" customWidth="1"/>
    <col min="8772" max="8772" width="13.42578125" style="443" bestFit="1" customWidth="1"/>
    <col min="8773" max="8775" width="13.42578125" style="443" customWidth="1"/>
    <col min="8776" max="8776" width="18.28515625" style="443" bestFit="1" customWidth="1"/>
    <col min="8777" max="8777" width="15" style="443" bestFit="1" customWidth="1"/>
    <col min="8778" max="8778" width="14.140625" style="443" customWidth="1"/>
    <col min="8779" max="8779" width="3.42578125" style="443" customWidth="1"/>
    <col min="8780" max="8943" width="9.140625" style="443"/>
    <col min="8944" max="8944" width="14" style="443" customWidth="1"/>
    <col min="8945" max="8947" width="15.28515625" style="443" customWidth="1"/>
    <col min="8948" max="8948" width="2.5703125" style="443" customWidth="1"/>
    <col min="8949" max="8949" width="15.28515625" style="443" bestFit="1" customWidth="1"/>
    <col min="8950" max="8966" width="9.140625" style="443" customWidth="1"/>
    <col min="8967" max="8967" width="9.42578125" style="443" customWidth="1"/>
    <col min="8968" max="8968" width="15.140625" style="443" customWidth="1"/>
    <col min="8969" max="8969" width="11" style="443" customWidth="1"/>
    <col min="8970" max="8973" width="9.140625" style="443"/>
    <col min="8974" max="8975" width="0" style="443" hidden="1" customWidth="1"/>
    <col min="8976" max="8979" width="9.140625" style="443"/>
    <col min="8980" max="8981" width="0" style="443" hidden="1" customWidth="1"/>
    <col min="8982" max="8986" width="9.140625" style="443"/>
    <col min="8987" max="8987" width="3.85546875" style="443" customWidth="1"/>
    <col min="8988" max="8988" width="9.140625" style="443" customWidth="1"/>
    <col min="8989" max="8989" width="13.28515625" style="443" customWidth="1"/>
    <col min="8990" max="8990" width="9.140625" style="443" customWidth="1"/>
    <col min="8991" max="8993" width="9.140625" style="443"/>
    <col min="8994" max="8994" width="11.85546875" style="443" customWidth="1"/>
    <col min="8995" max="8995" width="10.140625" style="443" customWidth="1"/>
    <col min="8996" max="8999" width="9.140625" style="443"/>
    <col min="9000" max="9001" width="0" style="443" hidden="1" customWidth="1"/>
    <col min="9002" max="9006" width="9.140625" style="443"/>
    <col min="9007" max="9007" width="3.140625" style="443" customWidth="1"/>
    <col min="9008" max="9026" width="9.140625" style="443"/>
    <col min="9027" max="9027" width="2.42578125" style="443" customWidth="1"/>
    <col min="9028" max="9028" width="13.42578125" style="443" bestFit="1" customWidth="1"/>
    <col min="9029" max="9031" width="13.42578125" style="443" customWidth="1"/>
    <col min="9032" max="9032" width="18.28515625" style="443" bestFit="1" customWidth="1"/>
    <col min="9033" max="9033" width="15" style="443" bestFit="1" customWidth="1"/>
    <col min="9034" max="9034" width="14.140625" style="443" customWidth="1"/>
    <col min="9035" max="9035" width="3.42578125" style="443" customWidth="1"/>
    <col min="9036" max="9199" width="9.140625" style="443"/>
    <col min="9200" max="9200" width="14" style="443" customWidth="1"/>
    <col min="9201" max="9203" width="15.28515625" style="443" customWidth="1"/>
    <col min="9204" max="9204" width="2.5703125" style="443" customWidth="1"/>
    <col min="9205" max="9205" width="15.28515625" style="443" bestFit="1" customWidth="1"/>
    <col min="9206" max="9222" width="9.140625" style="443" customWidth="1"/>
    <col min="9223" max="9223" width="9.42578125" style="443" customWidth="1"/>
    <col min="9224" max="9224" width="15.140625" style="443" customWidth="1"/>
    <col min="9225" max="9225" width="11" style="443" customWidth="1"/>
    <col min="9226" max="9229" width="9.140625" style="443"/>
    <col min="9230" max="9231" width="0" style="443" hidden="1" customWidth="1"/>
    <col min="9232" max="9235" width="9.140625" style="443"/>
    <col min="9236" max="9237" width="0" style="443" hidden="1" customWidth="1"/>
    <col min="9238" max="9242" width="9.140625" style="443"/>
    <col min="9243" max="9243" width="3.85546875" style="443" customWidth="1"/>
    <col min="9244" max="9244" width="9.140625" style="443" customWidth="1"/>
    <col min="9245" max="9245" width="13.28515625" style="443" customWidth="1"/>
    <col min="9246" max="9246" width="9.140625" style="443" customWidth="1"/>
    <col min="9247" max="9249" width="9.140625" style="443"/>
    <col min="9250" max="9250" width="11.85546875" style="443" customWidth="1"/>
    <col min="9251" max="9251" width="10.140625" style="443" customWidth="1"/>
    <col min="9252" max="9255" width="9.140625" style="443"/>
    <col min="9256" max="9257" width="0" style="443" hidden="1" customWidth="1"/>
    <col min="9258" max="9262" width="9.140625" style="443"/>
    <col min="9263" max="9263" width="3.140625" style="443" customWidth="1"/>
    <col min="9264" max="9282" width="9.140625" style="443"/>
    <col min="9283" max="9283" width="2.42578125" style="443" customWidth="1"/>
    <col min="9284" max="9284" width="13.42578125" style="443" bestFit="1" customWidth="1"/>
    <col min="9285" max="9287" width="13.42578125" style="443" customWidth="1"/>
    <col min="9288" max="9288" width="18.28515625" style="443" bestFit="1" customWidth="1"/>
    <col min="9289" max="9289" width="15" style="443" bestFit="1" customWidth="1"/>
    <col min="9290" max="9290" width="14.140625" style="443" customWidth="1"/>
    <col min="9291" max="9291" width="3.42578125" style="443" customWidth="1"/>
    <col min="9292" max="9455" width="9.140625" style="443"/>
    <col min="9456" max="9456" width="14" style="443" customWidth="1"/>
    <col min="9457" max="9459" width="15.28515625" style="443" customWidth="1"/>
    <col min="9460" max="9460" width="2.5703125" style="443" customWidth="1"/>
    <col min="9461" max="9461" width="15.28515625" style="443" bestFit="1" customWidth="1"/>
    <col min="9462" max="9478" width="9.140625" style="443" customWidth="1"/>
    <col min="9479" max="9479" width="9.42578125" style="443" customWidth="1"/>
    <col min="9480" max="9480" width="15.140625" style="443" customWidth="1"/>
    <col min="9481" max="9481" width="11" style="443" customWidth="1"/>
    <col min="9482" max="9485" width="9.140625" style="443"/>
    <col min="9486" max="9487" width="0" style="443" hidden="1" customWidth="1"/>
    <col min="9488" max="9491" width="9.140625" style="443"/>
    <col min="9492" max="9493" width="0" style="443" hidden="1" customWidth="1"/>
    <col min="9494" max="9498" width="9.140625" style="443"/>
    <col min="9499" max="9499" width="3.85546875" style="443" customWidth="1"/>
    <col min="9500" max="9500" width="9.140625" style="443" customWidth="1"/>
    <col min="9501" max="9501" width="13.28515625" style="443" customWidth="1"/>
    <col min="9502" max="9502" width="9.140625" style="443" customWidth="1"/>
    <col min="9503" max="9505" width="9.140625" style="443"/>
    <col min="9506" max="9506" width="11.85546875" style="443" customWidth="1"/>
    <col min="9507" max="9507" width="10.140625" style="443" customWidth="1"/>
    <col min="9508" max="9511" width="9.140625" style="443"/>
    <col min="9512" max="9513" width="0" style="443" hidden="1" customWidth="1"/>
    <col min="9514" max="9518" width="9.140625" style="443"/>
    <col min="9519" max="9519" width="3.140625" style="443" customWidth="1"/>
    <col min="9520" max="9538" width="9.140625" style="443"/>
    <col min="9539" max="9539" width="2.42578125" style="443" customWidth="1"/>
    <col min="9540" max="9540" width="13.42578125" style="443" bestFit="1" customWidth="1"/>
    <col min="9541" max="9543" width="13.42578125" style="443" customWidth="1"/>
    <col min="9544" max="9544" width="18.28515625" style="443" bestFit="1" customWidth="1"/>
    <col min="9545" max="9545" width="15" style="443" bestFit="1" customWidth="1"/>
    <col min="9546" max="9546" width="14.140625" style="443" customWidth="1"/>
    <col min="9547" max="9547" width="3.42578125" style="443" customWidth="1"/>
    <col min="9548" max="9711" width="9.140625" style="443"/>
    <col min="9712" max="9712" width="14" style="443" customWidth="1"/>
    <col min="9713" max="9715" width="15.28515625" style="443" customWidth="1"/>
    <col min="9716" max="9716" width="2.5703125" style="443" customWidth="1"/>
    <col min="9717" max="9717" width="15.28515625" style="443" bestFit="1" customWidth="1"/>
    <col min="9718" max="9734" width="9.140625" style="443" customWidth="1"/>
    <col min="9735" max="9735" width="9.42578125" style="443" customWidth="1"/>
    <col min="9736" max="9736" width="15.140625" style="443" customWidth="1"/>
    <col min="9737" max="9737" width="11" style="443" customWidth="1"/>
    <col min="9738" max="9741" width="9.140625" style="443"/>
    <col min="9742" max="9743" width="0" style="443" hidden="1" customWidth="1"/>
    <col min="9744" max="9747" width="9.140625" style="443"/>
    <col min="9748" max="9749" width="0" style="443" hidden="1" customWidth="1"/>
    <col min="9750" max="9754" width="9.140625" style="443"/>
    <col min="9755" max="9755" width="3.85546875" style="443" customWidth="1"/>
    <col min="9756" max="9756" width="9.140625" style="443" customWidth="1"/>
    <col min="9757" max="9757" width="13.28515625" style="443" customWidth="1"/>
    <col min="9758" max="9758" width="9.140625" style="443" customWidth="1"/>
    <col min="9759" max="9761" width="9.140625" style="443"/>
    <col min="9762" max="9762" width="11.85546875" style="443" customWidth="1"/>
    <col min="9763" max="9763" width="10.140625" style="443" customWidth="1"/>
    <col min="9764" max="9767" width="9.140625" style="443"/>
    <col min="9768" max="9769" width="0" style="443" hidden="1" customWidth="1"/>
    <col min="9770" max="9774" width="9.140625" style="443"/>
    <col min="9775" max="9775" width="3.140625" style="443" customWidth="1"/>
    <col min="9776" max="9794" width="9.140625" style="443"/>
    <col min="9795" max="9795" width="2.42578125" style="443" customWidth="1"/>
    <col min="9796" max="9796" width="13.42578125" style="443" bestFit="1" customWidth="1"/>
    <col min="9797" max="9799" width="13.42578125" style="443" customWidth="1"/>
    <col min="9800" max="9800" width="18.28515625" style="443" bestFit="1" customWidth="1"/>
    <col min="9801" max="9801" width="15" style="443" bestFit="1" customWidth="1"/>
    <col min="9802" max="9802" width="14.140625" style="443" customWidth="1"/>
    <col min="9803" max="9803" width="3.42578125" style="443" customWidth="1"/>
    <col min="9804" max="9967" width="9.140625" style="443"/>
    <col min="9968" max="9968" width="14" style="443" customWidth="1"/>
    <col min="9969" max="9971" width="15.28515625" style="443" customWidth="1"/>
    <col min="9972" max="9972" width="2.5703125" style="443" customWidth="1"/>
    <col min="9973" max="9973" width="15.28515625" style="443" bestFit="1" customWidth="1"/>
    <col min="9974" max="9990" width="9.140625" style="443" customWidth="1"/>
    <col min="9991" max="9991" width="9.42578125" style="443" customWidth="1"/>
    <col min="9992" max="9992" width="15.140625" style="443" customWidth="1"/>
    <col min="9993" max="9993" width="11" style="443" customWidth="1"/>
    <col min="9994" max="9997" width="9.140625" style="443"/>
    <col min="9998" max="9999" width="0" style="443" hidden="1" customWidth="1"/>
    <col min="10000" max="10003" width="9.140625" style="443"/>
    <col min="10004" max="10005" width="0" style="443" hidden="1" customWidth="1"/>
    <col min="10006" max="10010" width="9.140625" style="443"/>
    <col min="10011" max="10011" width="3.85546875" style="443" customWidth="1"/>
    <col min="10012" max="10012" width="9.140625" style="443" customWidth="1"/>
    <col min="10013" max="10013" width="13.28515625" style="443" customWidth="1"/>
    <col min="10014" max="10014" width="9.140625" style="443" customWidth="1"/>
    <col min="10015" max="10017" width="9.140625" style="443"/>
    <col min="10018" max="10018" width="11.85546875" style="443" customWidth="1"/>
    <col min="10019" max="10019" width="10.140625" style="443" customWidth="1"/>
    <col min="10020" max="10023" width="9.140625" style="443"/>
    <col min="10024" max="10025" width="0" style="443" hidden="1" customWidth="1"/>
    <col min="10026" max="10030" width="9.140625" style="443"/>
    <col min="10031" max="10031" width="3.140625" style="443" customWidth="1"/>
    <col min="10032" max="10050" width="9.140625" style="443"/>
    <col min="10051" max="10051" width="2.42578125" style="443" customWidth="1"/>
    <col min="10052" max="10052" width="13.42578125" style="443" bestFit="1" customWidth="1"/>
    <col min="10053" max="10055" width="13.42578125" style="443" customWidth="1"/>
    <col min="10056" max="10056" width="18.28515625" style="443" bestFit="1" customWidth="1"/>
    <col min="10057" max="10057" width="15" style="443" bestFit="1" customWidth="1"/>
    <col min="10058" max="10058" width="14.140625" style="443" customWidth="1"/>
    <col min="10059" max="10059" width="3.42578125" style="443" customWidth="1"/>
    <col min="10060" max="10223" width="9.140625" style="443"/>
    <col min="10224" max="10224" width="14" style="443" customWidth="1"/>
    <col min="10225" max="10227" width="15.28515625" style="443" customWidth="1"/>
    <col min="10228" max="10228" width="2.5703125" style="443" customWidth="1"/>
    <col min="10229" max="10229" width="15.28515625" style="443" bestFit="1" customWidth="1"/>
    <col min="10230" max="10246" width="9.140625" style="443" customWidth="1"/>
    <col min="10247" max="10247" width="9.42578125" style="443" customWidth="1"/>
    <col min="10248" max="10248" width="15.140625" style="443" customWidth="1"/>
    <col min="10249" max="10249" width="11" style="443" customWidth="1"/>
    <col min="10250" max="10253" width="9.140625" style="443"/>
    <col min="10254" max="10255" width="0" style="443" hidden="1" customWidth="1"/>
    <col min="10256" max="10259" width="9.140625" style="443"/>
    <col min="10260" max="10261" width="0" style="443" hidden="1" customWidth="1"/>
    <col min="10262" max="10266" width="9.140625" style="443"/>
    <col min="10267" max="10267" width="3.85546875" style="443" customWidth="1"/>
    <col min="10268" max="10268" width="9.140625" style="443" customWidth="1"/>
    <col min="10269" max="10269" width="13.28515625" style="443" customWidth="1"/>
    <col min="10270" max="10270" width="9.140625" style="443" customWidth="1"/>
    <col min="10271" max="10273" width="9.140625" style="443"/>
    <col min="10274" max="10274" width="11.85546875" style="443" customWidth="1"/>
    <col min="10275" max="10275" width="10.140625" style="443" customWidth="1"/>
    <col min="10276" max="10279" width="9.140625" style="443"/>
    <col min="10280" max="10281" width="0" style="443" hidden="1" customWidth="1"/>
    <col min="10282" max="10286" width="9.140625" style="443"/>
    <col min="10287" max="10287" width="3.140625" style="443" customWidth="1"/>
    <col min="10288" max="10306" width="9.140625" style="443"/>
    <col min="10307" max="10307" width="2.42578125" style="443" customWidth="1"/>
    <col min="10308" max="10308" width="13.42578125" style="443" bestFit="1" customWidth="1"/>
    <col min="10309" max="10311" width="13.42578125" style="443" customWidth="1"/>
    <col min="10312" max="10312" width="18.28515625" style="443" bestFit="1" customWidth="1"/>
    <col min="10313" max="10313" width="15" style="443" bestFit="1" customWidth="1"/>
    <col min="10314" max="10314" width="14.140625" style="443" customWidth="1"/>
    <col min="10315" max="10315" width="3.42578125" style="443" customWidth="1"/>
    <col min="10316" max="10479" width="9.140625" style="443"/>
    <col min="10480" max="10480" width="14" style="443" customWidth="1"/>
    <col min="10481" max="10483" width="15.28515625" style="443" customWidth="1"/>
    <col min="10484" max="10484" width="2.5703125" style="443" customWidth="1"/>
    <col min="10485" max="10485" width="15.28515625" style="443" bestFit="1" customWidth="1"/>
    <col min="10486" max="10502" width="9.140625" style="443" customWidth="1"/>
    <col min="10503" max="10503" width="9.42578125" style="443" customWidth="1"/>
    <col min="10504" max="10504" width="15.140625" style="443" customWidth="1"/>
    <col min="10505" max="10505" width="11" style="443" customWidth="1"/>
    <col min="10506" max="10509" width="9.140625" style="443"/>
    <col min="10510" max="10511" width="0" style="443" hidden="1" customWidth="1"/>
    <col min="10512" max="10515" width="9.140625" style="443"/>
    <col min="10516" max="10517" width="0" style="443" hidden="1" customWidth="1"/>
    <col min="10518" max="10522" width="9.140625" style="443"/>
    <col min="10523" max="10523" width="3.85546875" style="443" customWidth="1"/>
    <col min="10524" max="10524" width="9.140625" style="443" customWidth="1"/>
    <col min="10525" max="10525" width="13.28515625" style="443" customWidth="1"/>
    <col min="10526" max="10526" width="9.140625" style="443" customWidth="1"/>
    <col min="10527" max="10529" width="9.140625" style="443"/>
    <col min="10530" max="10530" width="11.85546875" style="443" customWidth="1"/>
    <col min="10531" max="10531" width="10.140625" style="443" customWidth="1"/>
    <col min="10532" max="10535" width="9.140625" style="443"/>
    <col min="10536" max="10537" width="0" style="443" hidden="1" customWidth="1"/>
    <col min="10538" max="10542" width="9.140625" style="443"/>
    <col min="10543" max="10543" width="3.140625" style="443" customWidth="1"/>
    <col min="10544" max="10562" width="9.140625" style="443"/>
    <col min="10563" max="10563" width="2.42578125" style="443" customWidth="1"/>
    <col min="10564" max="10564" width="13.42578125" style="443" bestFit="1" customWidth="1"/>
    <col min="10565" max="10567" width="13.42578125" style="443" customWidth="1"/>
    <col min="10568" max="10568" width="18.28515625" style="443" bestFit="1" customWidth="1"/>
    <col min="10569" max="10569" width="15" style="443" bestFit="1" customWidth="1"/>
    <col min="10570" max="10570" width="14.140625" style="443" customWidth="1"/>
    <col min="10571" max="10571" width="3.42578125" style="443" customWidth="1"/>
    <col min="10572" max="10735" width="9.140625" style="443"/>
    <col min="10736" max="10736" width="14" style="443" customWidth="1"/>
    <col min="10737" max="10739" width="15.28515625" style="443" customWidth="1"/>
    <col min="10740" max="10740" width="2.5703125" style="443" customWidth="1"/>
    <col min="10741" max="10741" width="15.28515625" style="443" bestFit="1" customWidth="1"/>
    <col min="10742" max="10758" width="9.140625" style="443" customWidth="1"/>
    <col min="10759" max="10759" width="9.42578125" style="443" customWidth="1"/>
    <col min="10760" max="10760" width="15.140625" style="443" customWidth="1"/>
    <col min="10761" max="10761" width="11" style="443" customWidth="1"/>
    <col min="10762" max="10765" width="9.140625" style="443"/>
    <col min="10766" max="10767" width="0" style="443" hidden="1" customWidth="1"/>
    <col min="10768" max="10771" width="9.140625" style="443"/>
    <col min="10772" max="10773" width="0" style="443" hidden="1" customWidth="1"/>
    <col min="10774" max="10778" width="9.140625" style="443"/>
    <col min="10779" max="10779" width="3.85546875" style="443" customWidth="1"/>
    <col min="10780" max="10780" width="9.140625" style="443" customWidth="1"/>
    <col min="10781" max="10781" width="13.28515625" style="443" customWidth="1"/>
    <col min="10782" max="10782" width="9.140625" style="443" customWidth="1"/>
    <col min="10783" max="10785" width="9.140625" style="443"/>
    <col min="10786" max="10786" width="11.85546875" style="443" customWidth="1"/>
    <col min="10787" max="10787" width="10.140625" style="443" customWidth="1"/>
    <col min="10788" max="10791" width="9.140625" style="443"/>
    <col min="10792" max="10793" width="0" style="443" hidden="1" customWidth="1"/>
    <col min="10794" max="10798" width="9.140625" style="443"/>
    <col min="10799" max="10799" width="3.140625" style="443" customWidth="1"/>
    <col min="10800" max="10818" width="9.140625" style="443"/>
    <col min="10819" max="10819" width="2.42578125" style="443" customWidth="1"/>
    <col min="10820" max="10820" width="13.42578125" style="443" bestFit="1" customWidth="1"/>
    <col min="10821" max="10823" width="13.42578125" style="443" customWidth="1"/>
    <col min="10824" max="10824" width="18.28515625" style="443" bestFit="1" customWidth="1"/>
    <col min="10825" max="10825" width="15" style="443" bestFit="1" customWidth="1"/>
    <col min="10826" max="10826" width="14.140625" style="443" customWidth="1"/>
    <col min="10827" max="10827" width="3.42578125" style="443" customWidth="1"/>
    <col min="10828" max="10991" width="9.140625" style="443"/>
    <col min="10992" max="10992" width="14" style="443" customWidth="1"/>
    <col min="10993" max="10995" width="15.28515625" style="443" customWidth="1"/>
    <col min="10996" max="10996" width="2.5703125" style="443" customWidth="1"/>
    <col min="10997" max="10997" width="15.28515625" style="443" bestFit="1" customWidth="1"/>
    <col min="10998" max="11014" width="9.140625" style="443" customWidth="1"/>
    <col min="11015" max="11015" width="9.42578125" style="443" customWidth="1"/>
    <col min="11016" max="11016" width="15.140625" style="443" customWidth="1"/>
    <col min="11017" max="11017" width="11" style="443" customWidth="1"/>
    <col min="11018" max="11021" width="9.140625" style="443"/>
    <col min="11022" max="11023" width="0" style="443" hidden="1" customWidth="1"/>
    <col min="11024" max="11027" width="9.140625" style="443"/>
    <col min="11028" max="11029" width="0" style="443" hidden="1" customWidth="1"/>
    <col min="11030" max="11034" width="9.140625" style="443"/>
    <col min="11035" max="11035" width="3.85546875" style="443" customWidth="1"/>
    <col min="11036" max="11036" width="9.140625" style="443" customWidth="1"/>
    <col min="11037" max="11037" width="13.28515625" style="443" customWidth="1"/>
    <col min="11038" max="11038" width="9.140625" style="443" customWidth="1"/>
    <col min="11039" max="11041" width="9.140625" style="443"/>
    <col min="11042" max="11042" width="11.85546875" style="443" customWidth="1"/>
    <col min="11043" max="11043" width="10.140625" style="443" customWidth="1"/>
    <col min="11044" max="11047" width="9.140625" style="443"/>
    <col min="11048" max="11049" width="0" style="443" hidden="1" customWidth="1"/>
    <col min="11050" max="11054" width="9.140625" style="443"/>
    <col min="11055" max="11055" width="3.140625" style="443" customWidth="1"/>
    <col min="11056" max="11074" width="9.140625" style="443"/>
    <col min="11075" max="11075" width="2.42578125" style="443" customWidth="1"/>
    <col min="11076" max="11076" width="13.42578125" style="443" bestFit="1" customWidth="1"/>
    <col min="11077" max="11079" width="13.42578125" style="443" customWidth="1"/>
    <col min="11080" max="11080" width="18.28515625" style="443" bestFit="1" customWidth="1"/>
    <col min="11081" max="11081" width="15" style="443" bestFit="1" customWidth="1"/>
    <col min="11082" max="11082" width="14.140625" style="443" customWidth="1"/>
    <col min="11083" max="11083" width="3.42578125" style="443" customWidth="1"/>
    <col min="11084" max="11247" width="9.140625" style="443"/>
    <col min="11248" max="11248" width="14" style="443" customWidth="1"/>
    <col min="11249" max="11251" width="15.28515625" style="443" customWidth="1"/>
    <col min="11252" max="11252" width="2.5703125" style="443" customWidth="1"/>
    <col min="11253" max="11253" width="15.28515625" style="443" bestFit="1" customWidth="1"/>
    <col min="11254" max="11270" width="9.140625" style="443" customWidth="1"/>
    <col min="11271" max="11271" width="9.42578125" style="443" customWidth="1"/>
    <col min="11272" max="11272" width="15.140625" style="443" customWidth="1"/>
    <col min="11273" max="11273" width="11" style="443" customWidth="1"/>
    <col min="11274" max="11277" width="9.140625" style="443"/>
    <col min="11278" max="11279" width="0" style="443" hidden="1" customWidth="1"/>
    <col min="11280" max="11283" width="9.140625" style="443"/>
    <col min="11284" max="11285" width="0" style="443" hidden="1" customWidth="1"/>
    <col min="11286" max="11290" width="9.140625" style="443"/>
    <col min="11291" max="11291" width="3.85546875" style="443" customWidth="1"/>
    <col min="11292" max="11292" width="9.140625" style="443" customWidth="1"/>
    <col min="11293" max="11293" width="13.28515625" style="443" customWidth="1"/>
    <col min="11294" max="11294" width="9.140625" style="443" customWidth="1"/>
    <col min="11295" max="11297" width="9.140625" style="443"/>
    <col min="11298" max="11298" width="11.85546875" style="443" customWidth="1"/>
    <col min="11299" max="11299" width="10.140625" style="443" customWidth="1"/>
    <col min="11300" max="11303" width="9.140625" style="443"/>
    <col min="11304" max="11305" width="0" style="443" hidden="1" customWidth="1"/>
    <col min="11306" max="11310" width="9.140625" style="443"/>
    <col min="11311" max="11311" width="3.140625" style="443" customWidth="1"/>
    <col min="11312" max="11330" width="9.140625" style="443"/>
    <col min="11331" max="11331" width="2.42578125" style="443" customWidth="1"/>
    <col min="11332" max="11332" width="13.42578125" style="443" bestFit="1" customWidth="1"/>
    <col min="11333" max="11335" width="13.42578125" style="443" customWidth="1"/>
    <col min="11336" max="11336" width="18.28515625" style="443" bestFit="1" customWidth="1"/>
    <col min="11337" max="11337" width="15" style="443" bestFit="1" customWidth="1"/>
    <col min="11338" max="11338" width="14.140625" style="443" customWidth="1"/>
    <col min="11339" max="11339" width="3.42578125" style="443" customWidth="1"/>
    <col min="11340" max="11503" width="9.140625" style="443"/>
    <col min="11504" max="11504" width="14" style="443" customWidth="1"/>
    <col min="11505" max="11507" width="15.28515625" style="443" customWidth="1"/>
    <col min="11508" max="11508" width="2.5703125" style="443" customWidth="1"/>
    <col min="11509" max="11509" width="15.28515625" style="443" bestFit="1" customWidth="1"/>
    <col min="11510" max="11526" width="9.140625" style="443" customWidth="1"/>
    <col min="11527" max="11527" width="9.42578125" style="443" customWidth="1"/>
    <col min="11528" max="11528" width="15.140625" style="443" customWidth="1"/>
    <col min="11529" max="11529" width="11" style="443" customWidth="1"/>
    <col min="11530" max="11533" width="9.140625" style="443"/>
    <col min="11534" max="11535" width="0" style="443" hidden="1" customWidth="1"/>
    <col min="11536" max="11539" width="9.140625" style="443"/>
    <col min="11540" max="11541" width="0" style="443" hidden="1" customWidth="1"/>
    <col min="11542" max="11546" width="9.140625" style="443"/>
    <col min="11547" max="11547" width="3.85546875" style="443" customWidth="1"/>
    <col min="11548" max="11548" width="9.140625" style="443" customWidth="1"/>
    <col min="11549" max="11549" width="13.28515625" style="443" customWidth="1"/>
    <col min="11550" max="11550" width="9.140625" style="443" customWidth="1"/>
    <col min="11551" max="11553" width="9.140625" style="443"/>
    <col min="11554" max="11554" width="11.85546875" style="443" customWidth="1"/>
    <col min="11555" max="11555" width="10.140625" style="443" customWidth="1"/>
    <col min="11556" max="11559" width="9.140625" style="443"/>
    <col min="11560" max="11561" width="0" style="443" hidden="1" customWidth="1"/>
    <col min="11562" max="11566" width="9.140625" style="443"/>
    <col min="11567" max="11567" width="3.140625" style="443" customWidth="1"/>
    <col min="11568" max="11586" width="9.140625" style="443"/>
    <col min="11587" max="11587" width="2.42578125" style="443" customWidth="1"/>
    <col min="11588" max="11588" width="13.42578125" style="443" bestFit="1" customWidth="1"/>
    <col min="11589" max="11591" width="13.42578125" style="443" customWidth="1"/>
    <col min="11592" max="11592" width="18.28515625" style="443" bestFit="1" customWidth="1"/>
    <col min="11593" max="11593" width="15" style="443" bestFit="1" customWidth="1"/>
    <col min="11594" max="11594" width="14.140625" style="443" customWidth="1"/>
    <col min="11595" max="11595" width="3.42578125" style="443" customWidth="1"/>
    <col min="11596" max="11759" width="9.140625" style="443"/>
    <col min="11760" max="11760" width="14" style="443" customWidth="1"/>
    <col min="11761" max="11763" width="15.28515625" style="443" customWidth="1"/>
    <col min="11764" max="11764" width="2.5703125" style="443" customWidth="1"/>
    <col min="11765" max="11765" width="15.28515625" style="443" bestFit="1" customWidth="1"/>
    <col min="11766" max="11782" width="9.140625" style="443" customWidth="1"/>
    <col min="11783" max="11783" width="9.42578125" style="443" customWidth="1"/>
    <col min="11784" max="11784" width="15.140625" style="443" customWidth="1"/>
    <col min="11785" max="11785" width="11" style="443" customWidth="1"/>
    <col min="11786" max="11789" width="9.140625" style="443"/>
    <col min="11790" max="11791" width="0" style="443" hidden="1" customWidth="1"/>
    <col min="11792" max="11795" width="9.140625" style="443"/>
    <col min="11796" max="11797" width="0" style="443" hidden="1" customWidth="1"/>
    <col min="11798" max="11802" width="9.140625" style="443"/>
    <col min="11803" max="11803" width="3.85546875" style="443" customWidth="1"/>
    <col min="11804" max="11804" width="9.140625" style="443" customWidth="1"/>
    <col min="11805" max="11805" width="13.28515625" style="443" customWidth="1"/>
    <col min="11806" max="11806" width="9.140625" style="443" customWidth="1"/>
    <col min="11807" max="11809" width="9.140625" style="443"/>
    <col min="11810" max="11810" width="11.85546875" style="443" customWidth="1"/>
    <col min="11811" max="11811" width="10.140625" style="443" customWidth="1"/>
    <col min="11812" max="11815" width="9.140625" style="443"/>
    <col min="11816" max="11817" width="0" style="443" hidden="1" customWidth="1"/>
    <col min="11818" max="11822" width="9.140625" style="443"/>
    <col min="11823" max="11823" width="3.140625" style="443" customWidth="1"/>
    <col min="11824" max="11842" width="9.140625" style="443"/>
    <col min="11843" max="11843" width="2.42578125" style="443" customWidth="1"/>
    <col min="11844" max="11844" width="13.42578125" style="443" bestFit="1" customWidth="1"/>
    <col min="11845" max="11847" width="13.42578125" style="443" customWidth="1"/>
    <col min="11848" max="11848" width="18.28515625" style="443" bestFit="1" customWidth="1"/>
    <col min="11849" max="11849" width="15" style="443" bestFit="1" customWidth="1"/>
    <col min="11850" max="11850" width="14.140625" style="443" customWidth="1"/>
    <col min="11851" max="11851" width="3.42578125" style="443" customWidth="1"/>
    <col min="11852" max="12015" width="9.140625" style="443"/>
    <col min="12016" max="12016" width="14" style="443" customWidth="1"/>
    <col min="12017" max="12019" width="15.28515625" style="443" customWidth="1"/>
    <col min="12020" max="12020" width="2.5703125" style="443" customWidth="1"/>
    <col min="12021" max="12021" width="15.28515625" style="443" bestFit="1" customWidth="1"/>
    <col min="12022" max="12038" width="9.140625" style="443" customWidth="1"/>
    <col min="12039" max="12039" width="9.42578125" style="443" customWidth="1"/>
    <col min="12040" max="12040" width="15.140625" style="443" customWidth="1"/>
    <col min="12041" max="12041" width="11" style="443" customWidth="1"/>
    <col min="12042" max="12045" width="9.140625" style="443"/>
    <col min="12046" max="12047" width="0" style="443" hidden="1" customWidth="1"/>
    <col min="12048" max="12051" width="9.140625" style="443"/>
    <col min="12052" max="12053" width="0" style="443" hidden="1" customWidth="1"/>
    <col min="12054" max="12058" width="9.140625" style="443"/>
    <col min="12059" max="12059" width="3.85546875" style="443" customWidth="1"/>
    <col min="12060" max="12060" width="9.140625" style="443" customWidth="1"/>
    <col min="12061" max="12061" width="13.28515625" style="443" customWidth="1"/>
    <col min="12062" max="12062" width="9.140625" style="443" customWidth="1"/>
    <col min="12063" max="12065" width="9.140625" style="443"/>
    <col min="12066" max="12066" width="11.85546875" style="443" customWidth="1"/>
    <col min="12067" max="12067" width="10.140625" style="443" customWidth="1"/>
    <col min="12068" max="12071" width="9.140625" style="443"/>
    <col min="12072" max="12073" width="0" style="443" hidden="1" customWidth="1"/>
    <col min="12074" max="12078" width="9.140625" style="443"/>
    <col min="12079" max="12079" width="3.140625" style="443" customWidth="1"/>
    <col min="12080" max="12098" width="9.140625" style="443"/>
    <col min="12099" max="12099" width="2.42578125" style="443" customWidth="1"/>
    <col min="12100" max="12100" width="13.42578125" style="443" bestFit="1" customWidth="1"/>
    <col min="12101" max="12103" width="13.42578125" style="443" customWidth="1"/>
    <col min="12104" max="12104" width="18.28515625" style="443" bestFit="1" customWidth="1"/>
    <col min="12105" max="12105" width="15" style="443" bestFit="1" customWidth="1"/>
    <col min="12106" max="12106" width="14.140625" style="443" customWidth="1"/>
    <col min="12107" max="12107" width="3.42578125" style="443" customWidth="1"/>
    <col min="12108" max="12271" width="9.140625" style="443"/>
    <col min="12272" max="12272" width="14" style="443" customWidth="1"/>
    <col min="12273" max="12275" width="15.28515625" style="443" customWidth="1"/>
    <col min="12276" max="12276" width="2.5703125" style="443" customWidth="1"/>
    <col min="12277" max="12277" width="15.28515625" style="443" bestFit="1" customWidth="1"/>
    <col min="12278" max="12294" width="9.140625" style="443" customWidth="1"/>
    <col min="12295" max="12295" width="9.42578125" style="443" customWidth="1"/>
    <col min="12296" max="12296" width="15.140625" style="443" customWidth="1"/>
    <col min="12297" max="12297" width="11" style="443" customWidth="1"/>
    <col min="12298" max="12301" width="9.140625" style="443"/>
    <col min="12302" max="12303" width="0" style="443" hidden="1" customWidth="1"/>
    <col min="12304" max="12307" width="9.140625" style="443"/>
    <col min="12308" max="12309" width="0" style="443" hidden="1" customWidth="1"/>
    <col min="12310" max="12314" width="9.140625" style="443"/>
    <col min="12315" max="12315" width="3.85546875" style="443" customWidth="1"/>
    <col min="12316" max="12316" width="9.140625" style="443" customWidth="1"/>
    <col min="12317" max="12317" width="13.28515625" style="443" customWidth="1"/>
    <col min="12318" max="12318" width="9.140625" style="443" customWidth="1"/>
    <col min="12319" max="12321" width="9.140625" style="443"/>
    <col min="12322" max="12322" width="11.85546875" style="443" customWidth="1"/>
    <col min="12323" max="12323" width="10.140625" style="443" customWidth="1"/>
    <col min="12324" max="12327" width="9.140625" style="443"/>
    <col min="12328" max="12329" width="0" style="443" hidden="1" customWidth="1"/>
    <col min="12330" max="12334" width="9.140625" style="443"/>
    <col min="12335" max="12335" width="3.140625" style="443" customWidth="1"/>
    <col min="12336" max="12354" width="9.140625" style="443"/>
    <col min="12355" max="12355" width="2.42578125" style="443" customWidth="1"/>
    <col min="12356" max="12356" width="13.42578125" style="443" bestFit="1" customWidth="1"/>
    <col min="12357" max="12359" width="13.42578125" style="443" customWidth="1"/>
    <col min="12360" max="12360" width="18.28515625" style="443" bestFit="1" customWidth="1"/>
    <col min="12361" max="12361" width="15" style="443" bestFit="1" customWidth="1"/>
    <col min="12362" max="12362" width="14.140625" style="443" customWidth="1"/>
    <col min="12363" max="12363" width="3.42578125" style="443" customWidth="1"/>
    <col min="12364" max="12527" width="9.140625" style="443"/>
    <col min="12528" max="12528" width="14" style="443" customWidth="1"/>
    <col min="12529" max="12531" width="15.28515625" style="443" customWidth="1"/>
    <col min="12532" max="12532" width="2.5703125" style="443" customWidth="1"/>
    <col min="12533" max="12533" width="15.28515625" style="443" bestFit="1" customWidth="1"/>
    <col min="12534" max="12550" width="9.140625" style="443" customWidth="1"/>
    <col min="12551" max="12551" width="9.42578125" style="443" customWidth="1"/>
    <col min="12552" max="12552" width="15.140625" style="443" customWidth="1"/>
    <col min="12553" max="12553" width="11" style="443" customWidth="1"/>
    <col min="12554" max="12557" width="9.140625" style="443"/>
    <col min="12558" max="12559" width="0" style="443" hidden="1" customWidth="1"/>
    <col min="12560" max="12563" width="9.140625" style="443"/>
    <col min="12564" max="12565" width="0" style="443" hidden="1" customWidth="1"/>
    <col min="12566" max="12570" width="9.140625" style="443"/>
    <col min="12571" max="12571" width="3.85546875" style="443" customWidth="1"/>
    <col min="12572" max="12572" width="9.140625" style="443" customWidth="1"/>
    <col min="12573" max="12573" width="13.28515625" style="443" customWidth="1"/>
    <col min="12574" max="12574" width="9.140625" style="443" customWidth="1"/>
    <col min="12575" max="12577" width="9.140625" style="443"/>
    <col min="12578" max="12578" width="11.85546875" style="443" customWidth="1"/>
    <col min="12579" max="12579" width="10.140625" style="443" customWidth="1"/>
    <col min="12580" max="12583" width="9.140625" style="443"/>
    <col min="12584" max="12585" width="0" style="443" hidden="1" customWidth="1"/>
    <col min="12586" max="12590" width="9.140625" style="443"/>
    <col min="12591" max="12591" width="3.140625" style="443" customWidth="1"/>
    <col min="12592" max="12610" width="9.140625" style="443"/>
    <col min="12611" max="12611" width="2.42578125" style="443" customWidth="1"/>
    <col min="12612" max="12612" width="13.42578125" style="443" bestFit="1" customWidth="1"/>
    <col min="12613" max="12615" width="13.42578125" style="443" customWidth="1"/>
    <col min="12616" max="12616" width="18.28515625" style="443" bestFit="1" customWidth="1"/>
    <col min="12617" max="12617" width="15" style="443" bestFit="1" customWidth="1"/>
    <col min="12618" max="12618" width="14.140625" style="443" customWidth="1"/>
    <col min="12619" max="12619" width="3.42578125" style="443" customWidth="1"/>
    <col min="12620" max="12783" width="9.140625" style="443"/>
    <col min="12784" max="12784" width="14" style="443" customWidth="1"/>
    <col min="12785" max="12787" width="15.28515625" style="443" customWidth="1"/>
    <col min="12788" max="12788" width="2.5703125" style="443" customWidth="1"/>
    <col min="12789" max="12789" width="15.28515625" style="443" bestFit="1" customWidth="1"/>
    <col min="12790" max="12806" width="9.140625" style="443" customWidth="1"/>
    <col min="12807" max="12807" width="9.42578125" style="443" customWidth="1"/>
    <col min="12808" max="12808" width="15.140625" style="443" customWidth="1"/>
    <col min="12809" max="12809" width="11" style="443" customWidth="1"/>
    <col min="12810" max="12813" width="9.140625" style="443"/>
    <col min="12814" max="12815" width="0" style="443" hidden="1" customWidth="1"/>
    <col min="12816" max="12819" width="9.140625" style="443"/>
    <col min="12820" max="12821" width="0" style="443" hidden="1" customWidth="1"/>
    <col min="12822" max="12826" width="9.140625" style="443"/>
    <col min="12827" max="12827" width="3.85546875" style="443" customWidth="1"/>
    <col min="12828" max="12828" width="9.140625" style="443" customWidth="1"/>
    <col min="12829" max="12829" width="13.28515625" style="443" customWidth="1"/>
    <col min="12830" max="12830" width="9.140625" style="443" customWidth="1"/>
    <col min="12831" max="12833" width="9.140625" style="443"/>
    <col min="12834" max="12834" width="11.85546875" style="443" customWidth="1"/>
    <col min="12835" max="12835" width="10.140625" style="443" customWidth="1"/>
    <col min="12836" max="12839" width="9.140625" style="443"/>
    <col min="12840" max="12841" width="0" style="443" hidden="1" customWidth="1"/>
    <col min="12842" max="12846" width="9.140625" style="443"/>
    <col min="12847" max="12847" width="3.140625" style="443" customWidth="1"/>
    <col min="12848" max="12866" width="9.140625" style="443"/>
    <col min="12867" max="12867" width="2.42578125" style="443" customWidth="1"/>
    <col min="12868" max="12868" width="13.42578125" style="443" bestFit="1" customWidth="1"/>
    <col min="12869" max="12871" width="13.42578125" style="443" customWidth="1"/>
    <col min="12872" max="12872" width="18.28515625" style="443" bestFit="1" customWidth="1"/>
    <col min="12873" max="12873" width="15" style="443" bestFit="1" customWidth="1"/>
    <col min="12874" max="12874" width="14.140625" style="443" customWidth="1"/>
    <col min="12875" max="12875" width="3.42578125" style="443" customWidth="1"/>
    <col min="12876" max="13039" width="9.140625" style="443"/>
    <col min="13040" max="13040" width="14" style="443" customWidth="1"/>
    <col min="13041" max="13043" width="15.28515625" style="443" customWidth="1"/>
    <col min="13044" max="13044" width="2.5703125" style="443" customWidth="1"/>
    <col min="13045" max="13045" width="15.28515625" style="443" bestFit="1" customWidth="1"/>
    <col min="13046" max="13062" width="9.140625" style="443" customWidth="1"/>
    <col min="13063" max="13063" width="9.42578125" style="443" customWidth="1"/>
    <col min="13064" max="13064" width="15.140625" style="443" customWidth="1"/>
    <col min="13065" max="13065" width="11" style="443" customWidth="1"/>
    <col min="13066" max="13069" width="9.140625" style="443"/>
    <col min="13070" max="13071" width="0" style="443" hidden="1" customWidth="1"/>
    <col min="13072" max="13075" width="9.140625" style="443"/>
    <col min="13076" max="13077" width="0" style="443" hidden="1" customWidth="1"/>
    <col min="13078" max="13082" width="9.140625" style="443"/>
    <col min="13083" max="13083" width="3.85546875" style="443" customWidth="1"/>
    <col min="13084" max="13084" width="9.140625" style="443" customWidth="1"/>
    <col min="13085" max="13085" width="13.28515625" style="443" customWidth="1"/>
    <col min="13086" max="13086" width="9.140625" style="443" customWidth="1"/>
    <col min="13087" max="13089" width="9.140625" style="443"/>
    <col min="13090" max="13090" width="11.85546875" style="443" customWidth="1"/>
    <col min="13091" max="13091" width="10.140625" style="443" customWidth="1"/>
    <col min="13092" max="13095" width="9.140625" style="443"/>
    <col min="13096" max="13097" width="0" style="443" hidden="1" customWidth="1"/>
    <col min="13098" max="13102" width="9.140625" style="443"/>
    <col min="13103" max="13103" width="3.140625" style="443" customWidth="1"/>
    <col min="13104" max="13122" width="9.140625" style="443"/>
    <col min="13123" max="13123" width="2.42578125" style="443" customWidth="1"/>
    <col min="13124" max="13124" width="13.42578125" style="443" bestFit="1" customWidth="1"/>
    <col min="13125" max="13127" width="13.42578125" style="443" customWidth="1"/>
    <col min="13128" max="13128" width="18.28515625" style="443" bestFit="1" customWidth="1"/>
    <col min="13129" max="13129" width="15" style="443" bestFit="1" customWidth="1"/>
    <col min="13130" max="13130" width="14.140625" style="443" customWidth="1"/>
    <col min="13131" max="13131" width="3.42578125" style="443" customWidth="1"/>
    <col min="13132" max="13295" width="9.140625" style="443"/>
    <col min="13296" max="13296" width="14" style="443" customWidth="1"/>
    <col min="13297" max="13299" width="15.28515625" style="443" customWidth="1"/>
    <col min="13300" max="13300" width="2.5703125" style="443" customWidth="1"/>
    <col min="13301" max="13301" width="15.28515625" style="443" bestFit="1" customWidth="1"/>
    <col min="13302" max="13318" width="9.140625" style="443" customWidth="1"/>
    <col min="13319" max="13319" width="9.42578125" style="443" customWidth="1"/>
    <col min="13320" max="13320" width="15.140625" style="443" customWidth="1"/>
    <col min="13321" max="13321" width="11" style="443" customWidth="1"/>
    <col min="13322" max="13325" width="9.140625" style="443"/>
    <col min="13326" max="13327" width="0" style="443" hidden="1" customWidth="1"/>
    <col min="13328" max="13331" width="9.140625" style="443"/>
    <col min="13332" max="13333" width="0" style="443" hidden="1" customWidth="1"/>
    <col min="13334" max="13338" width="9.140625" style="443"/>
    <col min="13339" max="13339" width="3.85546875" style="443" customWidth="1"/>
    <col min="13340" max="13340" width="9.140625" style="443" customWidth="1"/>
    <col min="13341" max="13341" width="13.28515625" style="443" customWidth="1"/>
    <col min="13342" max="13342" width="9.140625" style="443" customWidth="1"/>
    <col min="13343" max="13345" width="9.140625" style="443"/>
    <col min="13346" max="13346" width="11.85546875" style="443" customWidth="1"/>
    <col min="13347" max="13347" width="10.140625" style="443" customWidth="1"/>
    <col min="13348" max="13351" width="9.140625" style="443"/>
    <col min="13352" max="13353" width="0" style="443" hidden="1" customWidth="1"/>
    <col min="13354" max="13358" width="9.140625" style="443"/>
    <col min="13359" max="13359" width="3.140625" style="443" customWidth="1"/>
    <col min="13360" max="13378" width="9.140625" style="443"/>
    <col min="13379" max="13379" width="2.42578125" style="443" customWidth="1"/>
    <col min="13380" max="13380" width="13.42578125" style="443" bestFit="1" customWidth="1"/>
    <col min="13381" max="13383" width="13.42578125" style="443" customWidth="1"/>
    <col min="13384" max="13384" width="18.28515625" style="443" bestFit="1" customWidth="1"/>
    <col min="13385" max="13385" width="15" style="443" bestFit="1" customWidth="1"/>
    <col min="13386" max="13386" width="14.140625" style="443" customWidth="1"/>
    <col min="13387" max="13387" width="3.42578125" style="443" customWidth="1"/>
    <col min="13388" max="13551" width="9.140625" style="443"/>
    <col min="13552" max="13552" width="14" style="443" customWidth="1"/>
    <col min="13553" max="13555" width="15.28515625" style="443" customWidth="1"/>
    <col min="13556" max="13556" width="2.5703125" style="443" customWidth="1"/>
    <col min="13557" max="13557" width="15.28515625" style="443" bestFit="1" customWidth="1"/>
    <col min="13558" max="13574" width="9.140625" style="443" customWidth="1"/>
    <col min="13575" max="13575" width="9.42578125" style="443" customWidth="1"/>
    <col min="13576" max="13576" width="15.140625" style="443" customWidth="1"/>
    <col min="13577" max="13577" width="11" style="443" customWidth="1"/>
    <col min="13578" max="13581" width="9.140625" style="443"/>
    <col min="13582" max="13583" width="0" style="443" hidden="1" customWidth="1"/>
    <col min="13584" max="13587" width="9.140625" style="443"/>
    <col min="13588" max="13589" width="0" style="443" hidden="1" customWidth="1"/>
    <col min="13590" max="13594" width="9.140625" style="443"/>
    <col min="13595" max="13595" width="3.85546875" style="443" customWidth="1"/>
    <col min="13596" max="13596" width="9.140625" style="443" customWidth="1"/>
    <col min="13597" max="13597" width="13.28515625" style="443" customWidth="1"/>
    <col min="13598" max="13598" width="9.140625" style="443" customWidth="1"/>
    <col min="13599" max="13601" width="9.140625" style="443"/>
    <col min="13602" max="13602" width="11.85546875" style="443" customWidth="1"/>
    <col min="13603" max="13603" width="10.140625" style="443" customWidth="1"/>
    <col min="13604" max="13607" width="9.140625" style="443"/>
    <col min="13608" max="13609" width="0" style="443" hidden="1" customWidth="1"/>
    <col min="13610" max="13614" width="9.140625" style="443"/>
    <col min="13615" max="13615" width="3.140625" style="443" customWidth="1"/>
    <col min="13616" max="13634" width="9.140625" style="443"/>
    <col min="13635" max="13635" width="2.42578125" style="443" customWidth="1"/>
    <col min="13636" max="13636" width="13.42578125" style="443" bestFit="1" customWidth="1"/>
    <col min="13637" max="13639" width="13.42578125" style="443" customWidth="1"/>
    <col min="13640" max="13640" width="18.28515625" style="443" bestFit="1" customWidth="1"/>
    <col min="13641" max="13641" width="15" style="443" bestFit="1" customWidth="1"/>
    <col min="13642" max="13642" width="14.140625" style="443" customWidth="1"/>
    <col min="13643" max="13643" width="3.42578125" style="443" customWidth="1"/>
    <col min="13644" max="13807" width="9.140625" style="443"/>
    <col min="13808" max="13808" width="14" style="443" customWidth="1"/>
    <col min="13809" max="13811" width="15.28515625" style="443" customWidth="1"/>
    <col min="13812" max="13812" width="2.5703125" style="443" customWidth="1"/>
    <col min="13813" max="13813" width="15.28515625" style="443" bestFit="1" customWidth="1"/>
    <col min="13814" max="13830" width="9.140625" style="443" customWidth="1"/>
    <col min="13831" max="13831" width="9.42578125" style="443" customWidth="1"/>
    <col min="13832" max="13832" width="15.140625" style="443" customWidth="1"/>
    <col min="13833" max="13833" width="11" style="443" customWidth="1"/>
    <col min="13834" max="13837" width="9.140625" style="443"/>
    <col min="13838" max="13839" width="0" style="443" hidden="1" customWidth="1"/>
    <col min="13840" max="13843" width="9.140625" style="443"/>
    <col min="13844" max="13845" width="0" style="443" hidden="1" customWidth="1"/>
    <col min="13846" max="13850" width="9.140625" style="443"/>
    <col min="13851" max="13851" width="3.85546875" style="443" customWidth="1"/>
    <col min="13852" max="13852" width="9.140625" style="443" customWidth="1"/>
    <col min="13853" max="13853" width="13.28515625" style="443" customWidth="1"/>
    <col min="13854" max="13854" width="9.140625" style="443" customWidth="1"/>
    <col min="13855" max="13857" width="9.140625" style="443"/>
    <col min="13858" max="13858" width="11.85546875" style="443" customWidth="1"/>
    <col min="13859" max="13859" width="10.140625" style="443" customWidth="1"/>
    <col min="13860" max="13863" width="9.140625" style="443"/>
    <col min="13864" max="13865" width="0" style="443" hidden="1" customWidth="1"/>
    <col min="13866" max="13870" width="9.140625" style="443"/>
    <col min="13871" max="13871" width="3.140625" style="443" customWidth="1"/>
    <col min="13872" max="13890" width="9.140625" style="443"/>
    <col min="13891" max="13891" width="2.42578125" style="443" customWidth="1"/>
    <col min="13892" max="13892" width="13.42578125" style="443" bestFit="1" customWidth="1"/>
    <col min="13893" max="13895" width="13.42578125" style="443" customWidth="1"/>
    <col min="13896" max="13896" width="18.28515625" style="443" bestFit="1" customWidth="1"/>
    <col min="13897" max="13897" width="15" style="443" bestFit="1" customWidth="1"/>
    <col min="13898" max="13898" width="14.140625" style="443" customWidth="1"/>
    <col min="13899" max="13899" width="3.42578125" style="443" customWidth="1"/>
    <col min="13900" max="14063" width="9.140625" style="443"/>
    <col min="14064" max="14064" width="14" style="443" customWidth="1"/>
    <col min="14065" max="14067" width="15.28515625" style="443" customWidth="1"/>
    <col min="14068" max="14068" width="2.5703125" style="443" customWidth="1"/>
    <col min="14069" max="14069" width="15.28515625" style="443" bestFit="1" customWidth="1"/>
    <col min="14070" max="14086" width="9.140625" style="443" customWidth="1"/>
    <col min="14087" max="14087" width="9.42578125" style="443" customWidth="1"/>
    <col min="14088" max="14088" width="15.140625" style="443" customWidth="1"/>
    <col min="14089" max="14089" width="11" style="443" customWidth="1"/>
    <col min="14090" max="14093" width="9.140625" style="443"/>
    <col min="14094" max="14095" width="0" style="443" hidden="1" customWidth="1"/>
    <col min="14096" max="14099" width="9.140625" style="443"/>
    <col min="14100" max="14101" width="0" style="443" hidden="1" customWidth="1"/>
    <col min="14102" max="14106" width="9.140625" style="443"/>
    <col min="14107" max="14107" width="3.85546875" style="443" customWidth="1"/>
    <col min="14108" max="14108" width="9.140625" style="443" customWidth="1"/>
    <col min="14109" max="14109" width="13.28515625" style="443" customWidth="1"/>
    <col min="14110" max="14110" width="9.140625" style="443" customWidth="1"/>
    <col min="14111" max="14113" width="9.140625" style="443"/>
    <col min="14114" max="14114" width="11.85546875" style="443" customWidth="1"/>
    <col min="14115" max="14115" width="10.140625" style="443" customWidth="1"/>
    <col min="14116" max="14119" width="9.140625" style="443"/>
    <col min="14120" max="14121" width="0" style="443" hidden="1" customWidth="1"/>
    <col min="14122" max="14126" width="9.140625" style="443"/>
    <col min="14127" max="14127" width="3.140625" style="443" customWidth="1"/>
    <col min="14128" max="14146" width="9.140625" style="443"/>
    <col min="14147" max="14147" width="2.42578125" style="443" customWidth="1"/>
    <col min="14148" max="14148" width="13.42578125" style="443" bestFit="1" customWidth="1"/>
    <col min="14149" max="14151" width="13.42578125" style="443" customWidth="1"/>
    <col min="14152" max="14152" width="18.28515625" style="443" bestFit="1" customWidth="1"/>
    <col min="14153" max="14153" width="15" style="443" bestFit="1" customWidth="1"/>
    <col min="14154" max="14154" width="14.140625" style="443" customWidth="1"/>
    <col min="14155" max="14155" width="3.42578125" style="443" customWidth="1"/>
    <col min="14156" max="14319" width="9.140625" style="443"/>
    <col min="14320" max="14320" width="14" style="443" customWidth="1"/>
    <col min="14321" max="14323" width="15.28515625" style="443" customWidth="1"/>
    <col min="14324" max="14324" width="2.5703125" style="443" customWidth="1"/>
    <col min="14325" max="14325" width="15.28515625" style="443" bestFit="1" customWidth="1"/>
    <col min="14326" max="14342" width="9.140625" style="443" customWidth="1"/>
    <col min="14343" max="14343" width="9.42578125" style="443" customWidth="1"/>
    <col min="14344" max="14344" width="15.140625" style="443" customWidth="1"/>
    <col min="14345" max="14345" width="11" style="443" customWidth="1"/>
    <col min="14346" max="14349" width="9.140625" style="443"/>
    <col min="14350" max="14351" width="0" style="443" hidden="1" customWidth="1"/>
    <col min="14352" max="14355" width="9.140625" style="443"/>
    <col min="14356" max="14357" width="0" style="443" hidden="1" customWidth="1"/>
    <col min="14358" max="14362" width="9.140625" style="443"/>
    <col min="14363" max="14363" width="3.85546875" style="443" customWidth="1"/>
    <col min="14364" max="14364" width="9.140625" style="443" customWidth="1"/>
    <col min="14365" max="14365" width="13.28515625" style="443" customWidth="1"/>
    <col min="14366" max="14366" width="9.140625" style="443" customWidth="1"/>
    <col min="14367" max="14369" width="9.140625" style="443"/>
    <col min="14370" max="14370" width="11.85546875" style="443" customWidth="1"/>
    <col min="14371" max="14371" width="10.140625" style="443" customWidth="1"/>
    <col min="14372" max="14375" width="9.140625" style="443"/>
    <col min="14376" max="14377" width="0" style="443" hidden="1" customWidth="1"/>
    <col min="14378" max="14382" width="9.140625" style="443"/>
    <col min="14383" max="14383" width="3.140625" style="443" customWidth="1"/>
    <col min="14384" max="14402" width="9.140625" style="443"/>
    <col min="14403" max="14403" width="2.42578125" style="443" customWidth="1"/>
    <col min="14404" max="14404" width="13.42578125" style="443" bestFit="1" customWidth="1"/>
    <col min="14405" max="14407" width="13.42578125" style="443" customWidth="1"/>
    <col min="14408" max="14408" width="18.28515625" style="443" bestFit="1" customWidth="1"/>
    <col min="14409" max="14409" width="15" style="443" bestFit="1" customWidth="1"/>
    <col min="14410" max="14410" width="14.140625" style="443" customWidth="1"/>
    <col min="14411" max="14411" width="3.42578125" style="443" customWidth="1"/>
    <col min="14412" max="14575" width="9.140625" style="443"/>
    <col min="14576" max="14576" width="14" style="443" customWidth="1"/>
    <col min="14577" max="14579" width="15.28515625" style="443" customWidth="1"/>
    <col min="14580" max="14580" width="2.5703125" style="443" customWidth="1"/>
    <col min="14581" max="14581" width="15.28515625" style="443" bestFit="1" customWidth="1"/>
    <col min="14582" max="14598" width="9.140625" style="443" customWidth="1"/>
    <col min="14599" max="14599" width="9.42578125" style="443" customWidth="1"/>
    <col min="14600" max="14600" width="15.140625" style="443" customWidth="1"/>
    <col min="14601" max="14601" width="11" style="443" customWidth="1"/>
    <col min="14602" max="14605" width="9.140625" style="443"/>
    <col min="14606" max="14607" width="0" style="443" hidden="1" customWidth="1"/>
    <col min="14608" max="14611" width="9.140625" style="443"/>
    <col min="14612" max="14613" width="0" style="443" hidden="1" customWidth="1"/>
    <col min="14614" max="14618" width="9.140625" style="443"/>
    <col min="14619" max="14619" width="3.85546875" style="443" customWidth="1"/>
    <col min="14620" max="14620" width="9.140625" style="443" customWidth="1"/>
    <col min="14621" max="14621" width="13.28515625" style="443" customWidth="1"/>
    <col min="14622" max="14622" width="9.140625" style="443" customWidth="1"/>
    <col min="14623" max="14625" width="9.140625" style="443"/>
    <col min="14626" max="14626" width="11.85546875" style="443" customWidth="1"/>
    <col min="14627" max="14627" width="10.140625" style="443" customWidth="1"/>
    <col min="14628" max="14631" width="9.140625" style="443"/>
    <col min="14632" max="14633" width="0" style="443" hidden="1" customWidth="1"/>
    <col min="14634" max="14638" width="9.140625" style="443"/>
    <col min="14639" max="14639" width="3.140625" style="443" customWidth="1"/>
    <col min="14640" max="14658" width="9.140625" style="443"/>
    <col min="14659" max="14659" width="2.42578125" style="443" customWidth="1"/>
    <col min="14660" max="14660" width="13.42578125" style="443" bestFit="1" customWidth="1"/>
    <col min="14661" max="14663" width="13.42578125" style="443" customWidth="1"/>
    <col min="14664" max="14664" width="18.28515625" style="443" bestFit="1" customWidth="1"/>
    <col min="14665" max="14665" width="15" style="443" bestFit="1" customWidth="1"/>
    <col min="14666" max="14666" width="14.140625" style="443" customWidth="1"/>
    <col min="14667" max="14667" width="3.42578125" style="443" customWidth="1"/>
    <col min="14668" max="14831" width="9.140625" style="443"/>
    <col min="14832" max="14832" width="14" style="443" customWidth="1"/>
    <col min="14833" max="14835" width="15.28515625" style="443" customWidth="1"/>
    <col min="14836" max="14836" width="2.5703125" style="443" customWidth="1"/>
    <col min="14837" max="14837" width="15.28515625" style="443" bestFit="1" customWidth="1"/>
    <col min="14838" max="14854" width="9.140625" style="443" customWidth="1"/>
    <col min="14855" max="14855" width="9.42578125" style="443" customWidth="1"/>
    <col min="14856" max="14856" width="15.140625" style="443" customWidth="1"/>
    <col min="14857" max="14857" width="11" style="443" customWidth="1"/>
    <col min="14858" max="14861" width="9.140625" style="443"/>
    <col min="14862" max="14863" width="0" style="443" hidden="1" customWidth="1"/>
    <col min="14864" max="14867" width="9.140625" style="443"/>
    <col min="14868" max="14869" width="0" style="443" hidden="1" customWidth="1"/>
    <col min="14870" max="14874" width="9.140625" style="443"/>
    <col min="14875" max="14875" width="3.85546875" style="443" customWidth="1"/>
    <col min="14876" max="14876" width="9.140625" style="443" customWidth="1"/>
    <col min="14877" max="14877" width="13.28515625" style="443" customWidth="1"/>
    <col min="14878" max="14878" width="9.140625" style="443" customWidth="1"/>
    <col min="14879" max="14881" width="9.140625" style="443"/>
    <col min="14882" max="14882" width="11.85546875" style="443" customWidth="1"/>
    <col min="14883" max="14883" width="10.140625" style="443" customWidth="1"/>
    <col min="14884" max="14887" width="9.140625" style="443"/>
    <col min="14888" max="14889" width="0" style="443" hidden="1" customWidth="1"/>
    <col min="14890" max="14894" width="9.140625" style="443"/>
    <col min="14895" max="14895" width="3.140625" style="443" customWidth="1"/>
    <col min="14896" max="14914" width="9.140625" style="443"/>
    <col min="14915" max="14915" width="2.42578125" style="443" customWidth="1"/>
    <col min="14916" max="14916" width="13.42578125" style="443" bestFit="1" customWidth="1"/>
    <col min="14917" max="14919" width="13.42578125" style="443" customWidth="1"/>
    <col min="14920" max="14920" width="18.28515625" style="443" bestFit="1" customWidth="1"/>
    <col min="14921" max="14921" width="15" style="443" bestFit="1" customWidth="1"/>
    <col min="14922" max="14922" width="14.140625" style="443" customWidth="1"/>
    <col min="14923" max="14923" width="3.42578125" style="443" customWidth="1"/>
    <col min="14924" max="15087" width="9.140625" style="443"/>
    <col min="15088" max="15088" width="14" style="443" customWidth="1"/>
    <col min="15089" max="15091" width="15.28515625" style="443" customWidth="1"/>
    <col min="15092" max="15092" width="2.5703125" style="443" customWidth="1"/>
    <col min="15093" max="15093" width="15.28515625" style="443" bestFit="1" customWidth="1"/>
    <col min="15094" max="15110" width="9.140625" style="443" customWidth="1"/>
    <col min="15111" max="15111" width="9.42578125" style="443" customWidth="1"/>
    <col min="15112" max="15112" width="15.140625" style="443" customWidth="1"/>
    <col min="15113" max="15113" width="11" style="443" customWidth="1"/>
    <col min="15114" max="15117" width="9.140625" style="443"/>
    <col min="15118" max="15119" width="0" style="443" hidden="1" customWidth="1"/>
    <col min="15120" max="15123" width="9.140625" style="443"/>
    <col min="15124" max="15125" width="0" style="443" hidden="1" customWidth="1"/>
    <col min="15126" max="15130" width="9.140625" style="443"/>
    <col min="15131" max="15131" width="3.85546875" style="443" customWidth="1"/>
    <col min="15132" max="15132" width="9.140625" style="443" customWidth="1"/>
    <col min="15133" max="15133" width="13.28515625" style="443" customWidth="1"/>
    <col min="15134" max="15134" width="9.140625" style="443" customWidth="1"/>
    <col min="15135" max="15137" width="9.140625" style="443"/>
    <col min="15138" max="15138" width="11.85546875" style="443" customWidth="1"/>
    <col min="15139" max="15139" width="10.140625" style="443" customWidth="1"/>
    <col min="15140" max="15143" width="9.140625" style="443"/>
    <col min="15144" max="15145" width="0" style="443" hidden="1" customWidth="1"/>
    <col min="15146" max="15150" width="9.140625" style="443"/>
    <col min="15151" max="15151" width="3.140625" style="443" customWidth="1"/>
    <col min="15152" max="15170" width="9.140625" style="443"/>
    <col min="15171" max="15171" width="2.42578125" style="443" customWidth="1"/>
    <col min="15172" max="15172" width="13.42578125" style="443" bestFit="1" customWidth="1"/>
    <col min="15173" max="15175" width="13.42578125" style="443" customWidth="1"/>
    <col min="15176" max="15176" width="18.28515625" style="443" bestFit="1" customWidth="1"/>
    <col min="15177" max="15177" width="15" style="443" bestFit="1" customWidth="1"/>
    <col min="15178" max="15178" width="14.140625" style="443" customWidth="1"/>
    <col min="15179" max="15179" width="3.42578125" style="443" customWidth="1"/>
    <col min="15180" max="15343" width="9.140625" style="443"/>
    <col min="15344" max="15344" width="14" style="443" customWidth="1"/>
    <col min="15345" max="15347" width="15.28515625" style="443" customWidth="1"/>
    <col min="15348" max="15348" width="2.5703125" style="443" customWidth="1"/>
    <col min="15349" max="15349" width="15.28515625" style="443" bestFit="1" customWidth="1"/>
    <col min="15350" max="15366" width="9.140625" style="443" customWidth="1"/>
    <col min="15367" max="15367" width="9.42578125" style="443" customWidth="1"/>
    <col min="15368" max="15368" width="15.140625" style="443" customWidth="1"/>
    <col min="15369" max="15369" width="11" style="443" customWidth="1"/>
    <col min="15370" max="15373" width="9.140625" style="443"/>
    <col min="15374" max="15375" width="0" style="443" hidden="1" customWidth="1"/>
    <col min="15376" max="15379" width="9.140625" style="443"/>
    <col min="15380" max="15381" width="0" style="443" hidden="1" customWidth="1"/>
    <col min="15382" max="15386" width="9.140625" style="443"/>
    <col min="15387" max="15387" width="3.85546875" style="443" customWidth="1"/>
    <col min="15388" max="15388" width="9.140625" style="443" customWidth="1"/>
    <col min="15389" max="15389" width="13.28515625" style="443" customWidth="1"/>
    <col min="15390" max="15390" width="9.140625" style="443" customWidth="1"/>
    <col min="15391" max="15393" width="9.140625" style="443"/>
    <col min="15394" max="15394" width="11.85546875" style="443" customWidth="1"/>
    <col min="15395" max="15395" width="10.140625" style="443" customWidth="1"/>
    <col min="15396" max="15399" width="9.140625" style="443"/>
    <col min="15400" max="15401" width="0" style="443" hidden="1" customWidth="1"/>
    <col min="15402" max="15406" width="9.140625" style="443"/>
    <col min="15407" max="15407" width="3.140625" style="443" customWidth="1"/>
    <col min="15408" max="15426" width="9.140625" style="443"/>
    <col min="15427" max="15427" width="2.42578125" style="443" customWidth="1"/>
    <col min="15428" max="15428" width="13.42578125" style="443" bestFit="1" customWidth="1"/>
    <col min="15429" max="15431" width="13.42578125" style="443" customWidth="1"/>
    <col min="15432" max="15432" width="18.28515625" style="443" bestFit="1" customWidth="1"/>
    <col min="15433" max="15433" width="15" style="443" bestFit="1" customWidth="1"/>
    <col min="15434" max="15434" width="14.140625" style="443" customWidth="1"/>
    <col min="15435" max="15435" width="3.42578125" style="443" customWidth="1"/>
    <col min="15436" max="15599" width="9.140625" style="443"/>
    <col min="15600" max="15600" width="14" style="443" customWidth="1"/>
    <col min="15601" max="15603" width="15.28515625" style="443" customWidth="1"/>
    <col min="15604" max="15604" width="2.5703125" style="443" customWidth="1"/>
    <col min="15605" max="15605" width="15.28515625" style="443" bestFit="1" customWidth="1"/>
    <col min="15606" max="15622" width="9.140625" style="443" customWidth="1"/>
    <col min="15623" max="15623" width="9.42578125" style="443" customWidth="1"/>
    <col min="15624" max="15624" width="15.140625" style="443" customWidth="1"/>
    <col min="15625" max="15625" width="11" style="443" customWidth="1"/>
    <col min="15626" max="15629" width="9.140625" style="443"/>
    <col min="15630" max="15631" width="0" style="443" hidden="1" customWidth="1"/>
    <col min="15632" max="15635" width="9.140625" style="443"/>
    <col min="15636" max="15637" width="0" style="443" hidden="1" customWidth="1"/>
    <col min="15638" max="15642" width="9.140625" style="443"/>
    <col min="15643" max="15643" width="3.85546875" style="443" customWidth="1"/>
    <col min="15644" max="15644" width="9.140625" style="443" customWidth="1"/>
    <col min="15645" max="15645" width="13.28515625" style="443" customWidth="1"/>
    <col min="15646" max="15646" width="9.140625" style="443" customWidth="1"/>
    <col min="15647" max="15649" width="9.140625" style="443"/>
    <col min="15650" max="15650" width="11.85546875" style="443" customWidth="1"/>
    <col min="15651" max="15651" width="10.140625" style="443" customWidth="1"/>
    <col min="15652" max="15655" width="9.140625" style="443"/>
    <col min="15656" max="15657" width="0" style="443" hidden="1" customWidth="1"/>
    <col min="15658" max="15662" width="9.140625" style="443"/>
    <col min="15663" max="15663" width="3.140625" style="443" customWidth="1"/>
    <col min="15664" max="15682" width="9.140625" style="443"/>
    <col min="15683" max="15683" width="2.42578125" style="443" customWidth="1"/>
    <col min="15684" max="15684" width="13.42578125" style="443" bestFit="1" customWidth="1"/>
    <col min="15685" max="15687" width="13.42578125" style="443" customWidth="1"/>
    <col min="15688" max="15688" width="18.28515625" style="443" bestFit="1" customWidth="1"/>
    <col min="15689" max="15689" width="15" style="443" bestFit="1" customWidth="1"/>
    <col min="15690" max="15690" width="14.140625" style="443" customWidth="1"/>
    <col min="15691" max="15691" width="3.42578125" style="443" customWidth="1"/>
    <col min="15692" max="15855" width="9.140625" style="443"/>
    <col min="15856" max="15856" width="14" style="443" customWidth="1"/>
    <col min="15857" max="15859" width="15.28515625" style="443" customWidth="1"/>
    <col min="15860" max="15860" width="2.5703125" style="443" customWidth="1"/>
    <col min="15861" max="15861" width="15.28515625" style="443" bestFit="1" customWidth="1"/>
    <col min="15862" max="15878" width="9.140625" style="443" customWidth="1"/>
    <col min="15879" max="15879" width="9.42578125" style="443" customWidth="1"/>
    <col min="15880" max="15880" width="15.140625" style="443" customWidth="1"/>
    <col min="15881" max="15881" width="11" style="443" customWidth="1"/>
    <col min="15882" max="15885" width="9.140625" style="443"/>
    <col min="15886" max="15887" width="0" style="443" hidden="1" customWidth="1"/>
    <col min="15888" max="15891" width="9.140625" style="443"/>
    <col min="15892" max="15893" width="0" style="443" hidden="1" customWidth="1"/>
    <col min="15894" max="15898" width="9.140625" style="443"/>
    <col min="15899" max="15899" width="3.85546875" style="443" customWidth="1"/>
    <col min="15900" max="15900" width="9.140625" style="443" customWidth="1"/>
    <col min="15901" max="15901" width="13.28515625" style="443" customWidth="1"/>
    <col min="15902" max="15902" width="9.140625" style="443" customWidth="1"/>
    <col min="15903" max="15905" width="9.140625" style="443"/>
    <col min="15906" max="15906" width="11.85546875" style="443" customWidth="1"/>
    <col min="15907" max="15907" width="10.140625" style="443" customWidth="1"/>
    <col min="15908" max="15911" width="9.140625" style="443"/>
    <col min="15912" max="15913" width="0" style="443" hidden="1" customWidth="1"/>
    <col min="15914" max="15918" width="9.140625" style="443"/>
    <col min="15919" max="15919" width="3.140625" style="443" customWidth="1"/>
    <col min="15920" max="15938" width="9.140625" style="443"/>
    <col min="15939" max="15939" width="2.42578125" style="443" customWidth="1"/>
    <col min="15940" max="15940" width="13.42578125" style="443" bestFit="1" customWidth="1"/>
    <col min="15941" max="15943" width="13.42578125" style="443" customWidth="1"/>
    <col min="15944" max="15944" width="18.28515625" style="443" bestFit="1" customWidth="1"/>
    <col min="15945" max="15945" width="15" style="443" bestFit="1" customWidth="1"/>
    <col min="15946" max="15946" width="14.140625" style="443" customWidth="1"/>
    <col min="15947" max="15947" width="3.42578125" style="443" customWidth="1"/>
    <col min="15948" max="16111" width="9.140625" style="443"/>
    <col min="16112" max="16112" width="14" style="443" customWidth="1"/>
    <col min="16113" max="16115" width="15.28515625" style="443" customWidth="1"/>
    <col min="16116" max="16116" width="2.5703125" style="443" customWidth="1"/>
    <col min="16117" max="16117" width="15.28515625" style="443" bestFit="1" customWidth="1"/>
    <col min="16118" max="16134" width="9.140625" style="443" customWidth="1"/>
    <col min="16135" max="16135" width="9.42578125" style="443" customWidth="1"/>
    <col min="16136" max="16136" width="15.140625" style="443" customWidth="1"/>
    <col min="16137" max="16137" width="11" style="443" customWidth="1"/>
    <col min="16138" max="16141" width="9.140625" style="443"/>
    <col min="16142" max="16143" width="0" style="443" hidden="1" customWidth="1"/>
    <col min="16144" max="16147" width="9.140625" style="443"/>
    <col min="16148" max="16149" width="0" style="443" hidden="1" customWidth="1"/>
    <col min="16150" max="16154" width="9.140625" style="443"/>
    <col min="16155" max="16155" width="3.85546875" style="443" customWidth="1"/>
    <col min="16156" max="16156" width="9.140625" style="443" customWidth="1"/>
    <col min="16157" max="16157" width="13.28515625" style="443" customWidth="1"/>
    <col min="16158" max="16158" width="9.140625" style="443" customWidth="1"/>
    <col min="16159" max="16161" width="9.140625" style="443"/>
    <col min="16162" max="16162" width="11.85546875" style="443" customWidth="1"/>
    <col min="16163" max="16163" width="10.140625" style="443" customWidth="1"/>
    <col min="16164" max="16167" width="9.140625" style="443"/>
    <col min="16168" max="16169" width="0" style="443" hidden="1" customWidth="1"/>
    <col min="16170" max="16174" width="9.140625" style="443"/>
    <col min="16175" max="16175" width="3.140625" style="443" customWidth="1"/>
    <col min="16176" max="16194" width="9.140625" style="443"/>
    <col min="16195" max="16195" width="2.42578125" style="443" customWidth="1"/>
    <col min="16196" max="16196" width="13.42578125" style="443" bestFit="1" customWidth="1"/>
    <col min="16197" max="16199" width="13.42578125" style="443" customWidth="1"/>
    <col min="16200" max="16200" width="18.28515625" style="443" bestFit="1" customWidth="1"/>
    <col min="16201" max="16201" width="15" style="443" bestFit="1" customWidth="1"/>
    <col min="16202" max="16202" width="14.140625" style="443" customWidth="1"/>
    <col min="16203" max="16203" width="3.42578125" style="443" customWidth="1"/>
    <col min="16204" max="16384" width="9.140625" style="443"/>
  </cols>
  <sheetData>
    <row r="1" spans="1:88" x14ac:dyDescent="0.25">
      <c r="B1" s="440" t="s">
        <v>648</v>
      </c>
      <c r="C1" s="440"/>
      <c r="D1" s="440"/>
      <c r="E1" s="440"/>
      <c r="F1" s="440"/>
      <c r="CD1" s="443" t="s">
        <v>1416</v>
      </c>
      <c r="CE1" s="443" t="s">
        <v>1416</v>
      </c>
      <c r="CG1" s="443" t="s">
        <v>1417</v>
      </c>
      <c r="CH1" s="443" t="s">
        <v>1417</v>
      </c>
    </row>
    <row r="2" spans="1:88" x14ac:dyDescent="0.25">
      <c r="H2" s="1317" t="s">
        <v>156</v>
      </c>
      <c r="I2" s="1317"/>
      <c r="J2" s="1317"/>
      <c r="K2" s="1317"/>
      <c r="L2" s="1317"/>
      <c r="M2" s="1317"/>
      <c r="N2" s="1317"/>
      <c r="O2" s="1317"/>
      <c r="P2" s="1317"/>
      <c r="Q2" s="1317"/>
      <c r="R2" s="1317"/>
      <c r="S2" s="1317"/>
      <c r="T2" s="1317"/>
      <c r="U2" s="1317"/>
      <c r="V2" s="1317"/>
      <c r="W2" s="1317"/>
      <c r="X2" s="1317"/>
      <c r="Y2" s="1317"/>
      <c r="AB2" s="1317" t="s">
        <v>157</v>
      </c>
      <c r="AC2" s="1317"/>
      <c r="AD2" s="1317"/>
      <c r="AE2" s="1317"/>
      <c r="AF2" s="1317"/>
      <c r="AG2" s="1317"/>
      <c r="AH2" s="1317"/>
      <c r="AI2" s="1317"/>
      <c r="AJ2" s="1317"/>
      <c r="AK2" s="1317"/>
      <c r="AL2" s="1317"/>
      <c r="AM2" s="1317"/>
      <c r="AN2" s="1317"/>
      <c r="AO2" s="1317"/>
      <c r="AP2" s="1317"/>
      <c r="AQ2" s="1317"/>
      <c r="AR2" s="1317"/>
      <c r="AS2" s="1317"/>
      <c r="AV2" s="1317" t="s">
        <v>158</v>
      </c>
      <c r="AW2" s="1317"/>
      <c r="AX2" s="1317"/>
      <c r="AY2" s="1317"/>
      <c r="AZ2" s="1317"/>
      <c r="BA2" s="1317"/>
      <c r="BB2" s="1317"/>
      <c r="BC2" s="1317"/>
      <c r="BD2" s="1317"/>
      <c r="BE2" s="1317"/>
      <c r="BF2" s="1317"/>
      <c r="BG2" s="1317"/>
      <c r="BH2" s="1317"/>
      <c r="BI2" s="1317"/>
      <c r="BJ2" s="1317"/>
      <c r="BK2" s="1317"/>
      <c r="BL2" s="1317"/>
      <c r="BM2" s="1317"/>
      <c r="BU2" s="441" t="s">
        <v>649</v>
      </c>
      <c r="BY2" s="443" t="s">
        <v>513</v>
      </c>
      <c r="BZ2" s="443" t="s">
        <v>513</v>
      </c>
      <c r="CA2" s="443" t="s">
        <v>1413</v>
      </c>
      <c r="CB2" s="443" t="s">
        <v>1413</v>
      </c>
      <c r="CD2" s="443" t="s">
        <v>513</v>
      </c>
      <c r="CE2" s="443" t="s">
        <v>1413</v>
      </c>
      <c r="CG2" s="443" t="s">
        <v>513</v>
      </c>
      <c r="CH2" s="443" t="s">
        <v>1413</v>
      </c>
    </row>
    <row r="3" spans="1:88" ht="30" x14ac:dyDescent="0.25">
      <c r="B3" s="440" t="s">
        <v>159</v>
      </c>
      <c r="H3" s="444" t="s">
        <v>650</v>
      </c>
      <c r="I3" s="444" t="s">
        <v>161</v>
      </c>
      <c r="J3" s="444" t="s">
        <v>162</v>
      </c>
      <c r="K3" s="444" t="s">
        <v>163</v>
      </c>
      <c r="L3" s="444" t="s">
        <v>164</v>
      </c>
      <c r="M3" s="444" t="s">
        <v>165</v>
      </c>
      <c r="N3" s="444" t="s">
        <v>160</v>
      </c>
      <c r="O3" s="444" t="s">
        <v>161</v>
      </c>
      <c r="P3" s="444" t="s">
        <v>162</v>
      </c>
      <c r="Q3" s="444" t="s">
        <v>163</v>
      </c>
      <c r="R3" s="444" t="s">
        <v>164</v>
      </c>
      <c r="S3" s="444" t="s">
        <v>165</v>
      </c>
      <c r="T3" s="444" t="s">
        <v>160</v>
      </c>
      <c r="U3" s="444" t="s">
        <v>161</v>
      </c>
      <c r="V3" s="444" t="s">
        <v>162</v>
      </c>
      <c r="W3" s="444" t="s">
        <v>163</v>
      </c>
      <c r="X3" s="444" t="s">
        <v>164</v>
      </c>
      <c r="Y3" s="444" t="s">
        <v>165</v>
      </c>
      <c r="Z3" s="444" t="s">
        <v>149</v>
      </c>
      <c r="AB3" s="444" t="s">
        <v>651</v>
      </c>
      <c r="AC3" s="444" t="s">
        <v>161</v>
      </c>
      <c r="AD3" s="444" t="s">
        <v>162</v>
      </c>
      <c r="AE3" s="444" t="s">
        <v>163</v>
      </c>
      <c r="AF3" s="444" t="s">
        <v>164</v>
      </c>
      <c r="AG3" s="444" t="s">
        <v>165</v>
      </c>
      <c r="AH3" s="444" t="s">
        <v>160</v>
      </c>
      <c r="AI3" s="444" t="s">
        <v>161</v>
      </c>
      <c r="AJ3" s="444" t="s">
        <v>162</v>
      </c>
      <c r="AK3" s="444" t="s">
        <v>163</v>
      </c>
      <c r="AL3" s="444" t="s">
        <v>164</v>
      </c>
      <c r="AM3" s="444" t="s">
        <v>165</v>
      </c>
      <c r="AN3" s="444" t="s">
        <v>160</v>
      </c>
      <c r="AO3" s="444" t="s">
        <v>161</v>
      </c>
      <c r="AP3" s="444" t="s">
        <v>162</v>
      </c>
      <c r="AQ3" s="444" t="s">
        <v>163</v>
      </c>
      <c r="AR3" s="444" t="s">
        <v>164</v>
      </c>
      <c r="AS3" s="444" t="s">
        <v>165</v>
      </c>
      <c r="AT3" s="444" t="s">
        <v>149</v>
      </c>
      <c r="AV3" s="444" t="s">
        <v>651</v>
      </c>
      <c r="AW3" s="444" t="s">
        <v>161</v>
      </c>
      <c r="AX3" s="444" t="s">
        <v>162</v>
      </c>
      <c r="AY3" s="444" t="s">
        <v>163</v>
      </c>
      <c r="AZ3" s="444" t="s">
        <v>164</v>
      </c>
      <c r="BA3" s="444" t="s">
        <v>165</v>
      </c>
      <c r="BB3" s="444" t="s">
        <v>160</v>
      </c>
      <c r="BC3" s="444" t="s">
        <v>161</v>
      </c>
      <c r="BD3" s="444" t="s">
        <v>162</v>
      </c>
      <c r="BE3" s="444" t="s">
        <v>163</v>
      </c>
      <c r="BF3" s="444" t="s">
        <v>164</v>
      </c>
      <c r="BG3" s="444" t="s">
        <v>165</v>
      </c>
      <c r="BH3" s="444" t="s">
        <v>160</v>
      </c>
      <c r="BI3" s="444" t="s">
        <v>161</v>
      </c>
      <c r="BJ3" s="444" t="s">
        <v>162</v>
      </c>
      <c r="BK3" s="444" t="s">
        <v>163</v>
      </c>
      <c r="BL3" s="444" t="s">
        <v>164</v>
      </c>
      <c r="BM3" s="444" t="s">
        <v>165</v>
      </c>
      <c r="BN3" s="444" t="s">
        <v>149</v>
      </c>
      <c r="BP3" s="445" t="s">
        <v>166</v>
      </c>
      <c r="BQ3" s="445" t="s">
        <v>167</v>
      </c>
      <c r="BR3" s="445" t="s">
        <v>168</v>
      </c>
      <c r="BS3" s="445" t="s">
        <v>169</v>
      </c>
      <c r="BT3" s="445" t="s">
        <v>170</v>
      </c>
      <c r="BU3" s="445" t="s">
        <v>171</v>
      </c>
      <c r="BV3" s="445" t="s">
        <v>172</v>
      </c>
      <c r="BY3" s="443" t="s">
        <v>1412</v>
      </c>
      <c r="BZ3" s="443" t="s">
        <v>955</v>
      </c>
      <c r="CA3" s="443" t="s">
        <v>1412</v>
      </c>
      <c r="CB3" s="443" t="s">
        <v>955</v>
      </c>
      <c r="CD3" s="443" t="s">
        <v>1412</v>
      </c>
      <c r="CE3" s="443" t="s">
        <v>1412</v>
      </c>
      <c r="CG3" s="443" t="s">
        <v>1412</v>
      </c>
      <c r="CH3" s="443" t="s">
        <v>1412</v>
      </c>
    </row>
    <row r="4" spans="1:88" x14ac:dyDescent="0.25">
      <c r="A4" s="443" t="s">
        <v>699</v>
      </c>
      <c r="C4" s="446" t="s">
        <v>174</v>
      </c>
      <c r="D4" s="446" t="s">
        <v>175</v>
      </c>
      <c r="E4" s="446" t="s">
        <v>149</v>
      </c>
      <c r="H4" s="444"/>
      <c r="I4" s="444" t="s">
        <v>176</v>
      </c>
      <c r="J4" s="444" t="s">
        <v>176</v>
      </c>
      <c r="K4" s="444" t="s">
        <v>176</v>
      </c>
      <c r="L4" s="444" t="s">
        <v>176</v>
      </c>
      <c r="M4" s="444" t="s">
        <v>176</v>
      </c>
      <c r="N4" s="444" t="s">
        <v>177</v>
      </c>
      <c r="O4" s="444" t="s">
        <v>177</v>
      </c>
      <c r="P4" s="444" t="s">
        <v>177</v>
      </c>
      <c r="Q4" s="444" t="s">
        <v>177</v>
      </c>
      <c r="R4" s="444" t="s">
        <v>177</v>
      </c>
      <c r="S4" s="444" t="s">
        <v>177</v>
      </c>
      <c r="T4" s="444" t="s">
        <v>178</v>
      </c>
      <c r="U4" s="444" t="s">
        <v>178</v>
      </c>
      <c r="V4" s="444" t="s">
        <v>178</v>
      </c>
      <c r="W4" s="444" t="s">
        <v>178</v>
      </c>
      <c r="X4" s="444" t="s">
        <v>178</v>
      </c>
      <c r="Y4" s="444" t="s">
        <v>178</v>
      </c>
      <c r="AB4" s="444" t="s">
        <v>176</v>
      </c>
      <c r="AC4" s="444" t="s">
        <v>176</v>
      </c>
      <c r="AD4" s="444" t="s">
        <v>176</v>
      </c>
      <c r="AE4" s="444" t="s">
        <v>176</v>
      </c>
      <c r="AF4" s="444" t="s">
        <v>176</v>
      </c>
      <c r="AG4" s="444" t="s">
        <v>176</v>
      </c>
      <c r="AH4" s="444" t="s">
        <v>177</v>
      </c>
      <c r="AI4" s="444" t="s">
        <v>177</v>
      </c>
      <c r="AJ4" s="444" t="s">
        <v>177</v>
      </c>
      <c r="AK4" s="444" t="s">
        <v>177</v>
      </c>
      <c r="AL4" s="444" t="s">
        <v>177</v>
      </c>
      <c r="AM4" s="444" t="s">
        <v>177</v>
      </c>
      <c r="AN4" s="444" t="s">
        <v>178</v>
      </c>
      <c r="AO4" s="444" t="s">
        <v>178</v>
      </c>
      <c r="AP4" s="444" t="s">
        <v>178</v>
      </c>
      <c r="AQ4" s="444" t="s">
        <v>178</v>
      </c>
      <c r="AR4" s="444" t="s">
        <v>178</v>
      </c>
      <c r="AS4" s="444" t="s">
        <v>178</v>
      </c>
      <c r="AV4" s="444" t="s">
        <v>176</v>
      </c>
      <c r="AW4" s="444" t="s">
        <v>176</v>
      </c>
      <c r="AX4" s="444" t="s">
        <v>176</v>
      </c>
      <c r="AY4" s="444" t="s">
        <v>176</v>
      </c>
      <c r="AZ4" s="444" t="s">
        <v>176</v>
      </c>
      <c r="BA4" s="444" t="s">
        <v>176</v>
      </c>
      <c r="BB4" s="444" t="s">
        <v>177</v>
      </c>
      <c r="BC4" s="444" t="s">
        <v>177</v>
      </c>
      <c r="BD4" s="444" t="s">
        <v>177</v>
      </c>
      <c r="BE4" s="444" t="s">
        <v>177</v>
      </c>
      <c r="BF4" s="444" t="s">
        <v>177</v>
      </c>
      <c r="BG4" s="444" t="s">
        <v>177</v>
      </c>
      <c r="BH4" s="444" t="s">
        <v>178</v>
      </c>
      <c r="BI4" s="444" t="s">
        <v>178</v>
      </c>
      <c r="BJ4" s="444" t="s">
        <v>178</v>
      </c>
      <c r="BK4" s="444" t="s">
        <v>178</v>
      </c>
      <c r="BL4" s="444" t="s">
        <v>178</v>
      </c>
      <c r="BM4" s="444" t="s">
        <v>178</v>
      </c>
    </row>
    <row r="5" spans="1:88" x14ac:dyDescent="0.25">
      <c r="C5" s="446"/>
      <c r="D5" s="446"/>
      <c r="E5" s="446"/>
    </row>
    <row r="6" spans="1:88" x14ac:dyDescent="0.25">
      <c r="A6" s="443">
        <v>7026</v>
      </c>
      <c r="B6" s="443" t="s">
        <v>150</v>
      </c>
      <c r="C6" s="443">
        <v>66</v>
      </c>
      <c r="D6" s="443">
        <v>1</v>
      </c>
      <c r="E6" s="443">
        <v>67</v>
      </c>
      <c r="H6" s="448">
        <v>4</v>
      </c>
      <c r="L6" s="443">
        <v>18</v>
      </c>
      <c r="M6" s="443">
        <v>1</v>
      </c>
      <c r="R6" s="443">
        <v>19</v>
      </c>
      <c r="W6" s="443">
        <v>4</v>
      </c>
      <c r="X6" s="443">
        <v>19</v>
      </c>
      <c r="Y6" s="443">
        <v>1</v>
      </c>
      <c r="Z6" s="443">
        <v>66</v>
      </c>
      <c r="AR6" s="443">
        <v>1</v>
      </c>
      <c r="AT6" s="443">
        <v>1</v>
      </c>
      <c r="AV6" s="443">
        <v>4</v>
      </c>
      <c r="AW6" s="443">
        <v>0</v>
      </c>
      <c r="AX6" s="443">
        <v>0</v>
      </c>
      <c r="AY6" s="443">
        <v>0</v>
      </c>
      <c r="AZ6" s="443">
        <v>18</v>
      </c>
      <c r="BA6" s="443">
        <v>1</v>
      </c>
      <c r="BB6" s="443">
        <v>0</v>
      </c>
      <c r="BC6" s="443">
        <v>0</v>
      </c>
      <c r="BD6" s="443">
        <v>0</v>
      </c>
      <c r="BE6" s="443">
        <v>0</v>
      </c>
      <c r="BF6" s="443">
        <v>19</v>
      </c>
      <c r="BG6" s="443">
        <v>0</v>
      </c>
      <c r="BH6" s="443">
        <v>0</v>
      </c>
      <c r="BI6" s="443">
        <v>0</v>
      </c>
      <c r="BJ6" s="443">
        <v>0</v>
      </c>
      <c r="BK6" s="443">
        <v>4</v>
      </c>
      <c r="BL6" s="443">
        <v>20</v>
      </c>
      <c r="BM6" s="443">
        <v>1</v>
      </c>
      <c r="BN6" s="443">
        <v>67</v>
      </c>
      <c r="BP6" s="441">
        <v>670000</v>
      </c>
      <c r="BQ6" s="441">
        <v>1119338</v>
      </c>
      <c r="BR6" s="441">
        <v>0</v>
      </c>
      <c r="BS6" s="441">
        <v>0</v>
      </c>
      <c r="BT6" s="441">
        <v>1789338</v>
      </c>
      <c r="BU6" s="441">
        <v>15916</v>
      </c>
      <c r="BV6" s="441">
        <v>1805254</v>
      </c>
      <c r="BY6" s="441">
        <v>67</v>
      </c>
      <c r="CA6" s="441">
        <v>1119338</v>
      </c>
    </row>
    <row r="7" spans="1:88" x14ac:dyDescent="0.25">
      <c r="A7" s="443">
        <v>7027</v>
      </c>
      <c r="B7" s="443" t="s">
        <v>151</v>
      </c>
      <c r="C7" s="443">
        <v>61</v>
      </c>
      <c r="D7" s="443">
        <v>2</v>
      </c>
      <c r="E7" s="443">
        <v>63</v>
      </c>
      <c r="W7" s="443">
        <v>37</v>
      </c>
      <c r="X7" s="443">
        <v>21</v>
      </c>
      <c r="Y7" s="443">
        <v>3</v>
      </c>
      <c r="Z7" s="443">
        <v>61</v>
      </c>
      <c r="AQ7" s="443">
        <v>2</v>
      </c>
      <c r="AT7" s="443">
        <v>2</v>
      </c>
      <c r="AV7" s="443">
        <v>0</v>
      </c>
      <c r="AW7" s="443">
        <v>0</v>
      </c>
      <c r="AX7" s="443">
        <v>0</v>
      </c>
      <c r="AY7" s="443">
        <v>0</v>
      </c>
      <c r="AZ7" s="443">
        <v>0</v>
      </c>
      <c r="BA7" s="443">
        <v>0</v>
      </c>
      <c r="BB7" s="443">
        <v>0</v>
      </c>
      <c r="BC7" s="443">
        <v>0</v>
      </c>
      <c r="BD7" s="443">
        <v>0</v>
      </c>
      <c r="BE7" s="443">
        <v>0</v>
      </c>
      <c r="BF7" s="443">
        <v>0</v>
      </c>
      <c r="BG7" s="443">
        <v>0</v>
      </c>
      <c r="BH7" s="443">
        <v>0</v>
      </c>
      <c r="BI7" s="443">
        <v>0</v>
      </c>
      <c r="BJ7" s="443">
        <v>0</v>
      </c>
      <c r="BK7" s="443">
        <v>39</v>
      </c>
      <c r="BL7" s="443">
        <v>21</v>
      </c>
      <c r="BM7" s="443">
        <v>3</v>
      </c>
      <c r="BN7" s="443">
        <v>63</v>
      </c>
      <c r="BP7" s="441">
        <v>630000</v>
      </c>
      <c r="BQ7" s="441">
        <v>682957</v>
      </c>
      <c r="BR7" s="441">
        <v>376295</v>
      </c>
      <c r="BS7" s="441">
        <v>0</v>
      </c>
      <c r="BT7" s="441">
        <v>1689252</v>
      </c>
      <c r="BU7" s="441">
        <v>17060</v>
      </c>
      <c r="BV7" s="441">
        <v>1706312</v>
      </c>
      <c r="BY7" s="441">
        <v>63</v>
      </c>
      <c r="CA7" s="441">
        <v>682957</v>
      </c>
    </row>
    <row r="8" spans="1:88" x14ac:dyDescent="0.25">
      <c r="A8" s="443">
        <v>7025</v>
      </c>
      <c r="B8" s="443" t="s">
        <v>152</v>
      </c>
      <c r="C8" s="443">
        <v>85</v>
      </c>
      <c r="D8" s="443">
        <v>5</v>
      </c>
      <c r="E8" s="443">
        <v>90</v>
      </c>
      <c r="V8" s="443">
        <v>61</v>
      </c>
      <c r="W8" s="443">
        <v>20</v>
      </c>
      <c r="X8" s="443">
        <v>4</v>
      </c>
      <c r="Z8" s="443">
        <v>85</v>
      </c>
      <c r="AP8" s="443">
        <v>5</v>
      </c>
      <c r="AT8" s="443">
        <v>5</v>
      </c>
      <c r="AV8" s="443">
        <v>0</v>
      </c>
      <c r="AW8" s="443">
        <v>0</v>
      </c>
      <c r="AX8" s="443">
        <v>0</v>
      </c>
      <c r="AY8" s="443">
        <v>0</v>
      </c>
      <c r="AZ8" s="443">
        <v>0</v>
      </c>
      <c r="BA8" s="443">
        <v>0</v>
      </c>
      <c r="BB8" s="443">
        <v>0</v>
      </c>
      <c r="BC8" s="443">
        <v>0</v>
      </c>
      <c r="BD8" s="443">
        <v>0</v>
      </c>
      <c r="BE8" s="443">
        <v>0</v>
      </c>
      <c r="BF8" s="443">
        <v>0</v>
      </c>
      <c r="BG8" s="443">
        <v>0</v>
      </c>
      <c r="BH8" s="443">
        <v>0</v>
      </c>
      <c r="BI8" s="443">
        <v>0</v>
      </c>
      <c r="BJ8" s="443">
        <v>66</v>
      </c>
      <c r="BK8" s="443">
        <v>20</v>
      </c>
      <c r="BL8" s="443">
        <v>4</v>
      </c>
      <c r="BM8" s="443">
        <v>0</v>
      </c>
      <c r="BN8" s="443">
        <v>90</v>
      </c>
      <c r="BP8" s="441">
        <v>900000</v>
      </c>
      <c r="BQ8" s="441">
        <v>430586</v>
      </c>
      <c r="BR8" s="441">
        <v>0</v>
      </c>
      <c r="BS8" s="441">
        <v>0</v>
      </c>
      <c r="BT8" s="441">
        <v>1330586</v>
      </c>
      <c r="BU8" s="441">
        <v>24190</v>
      </c>
      <c r="BV8" s="441">
        <v>1354776</v>
      </c>
      <c r="BY8" s="441">
        <v>90</v>
      </c>
      <c r="CA8" s="441">
        <v>430586</v>
      </c>
    </row>
    <row r="9" spans="1:88" x14ac:dyDescent="0.25">
      <c r="A9" s="443">
        <v>7024</v>
      </c>
      <c r="B9" s="443" t="s">
        <v>153</v>
      </c>
      <c r="C9" s="443">
        <v>110</v>
      </c>
      <c r="D9" s="443">
        <v>0</v>
      </c>
      <c r="E9" s="443">
        <v>110</v>
      </c>
      <c r="H9" s="447">
        <v>1</v>
      </c>
      <c r="L9" s="443">
        <v>27</v>
      </c>
      <c r="Q9" s="443">
        <v>35</v>
      </c>
      <c r="R9" s="443">
        <v>45</v>
      </c>
      <c r="S9" s="443">
        <v>2</v>
      </c>
      <c r="Z9" s="443">
        <v>110</v>
      </c>
      <c r="AT9" s="443">
        <v>0</v>
      </c>
      <c r="AV9" s="443">
        <v>1</v>
      </c>
      <c r="AW9" s="443">
        <v>0</v>
      </c>
      <c r="AX9" s="443">
        <v>0</v>
      </c>
      <c r="AY9" s="443">
        <v>0</v>
      </c>
      <c r="AZ9" s="443">
        <v>27</v>
      </c>
      <c r="BA9" s="443">
        <v>0</v>
      </c>
      <c r="BB9" s="443">
        <v>0</v>
      </c>
      <c r="BC9" s="443">
        <v>0</v>
      </c>
      <c r="BD9" s="443">
        <v>0</v>
      </c>
      <c r="BE9" s="443">
        <v>35</v>
      </c>
      <c r="BF9" s="443">
        <v>45</v>
      </c>
      <c r="BG9" s="443">
        <v>2</v>
      </c>
      <c r="BH9" s="443">
        <v>0</v>
      </c>
      <c r="BI9" s="443">
        <v>0</v>
      </c>
      <c r="BJ9" s="443">
        <v>0</v>
      </c>
      <c r="BK9" s="443">
        <v>0</v>
      </c>
      <c r="BL9" s="443">
        <v>0</v>
      </c>
      <c r="BM9" s="443">
        <v>0</v>
      </c>
      <c r="BN9" s="443">
        <v>110</v>
      </c>
      <c r="BP9" s="441">
        <v>1100000</v>
      </c>
      <c r="BQ9" s="441">
        <v>1210134</v>
      </c>
      <c r="BR9" s="441">
        <v>0</v>
      </c>
      <c r="BS9" s="441">
        <v>0</v>
      </c>
      <c r="BT9" s="441">
        <v>2310134</v>
      </c>
      <c r="BU9" s="441">
        <v>0</v>
      </c>
      <c r="BV9" s="441">
        <v>2310134</v>
      </c>
      <c r="BY9" s="441">
        <v>110</v>
      </c>
      <c r="CA9" s="441">
        <v>1210134</v>
      </c>
    </row>
    <row r="10" spans="1:88" x14ac:dyDescent="0.25">
      <c r="A10" s="443">
        <v>7021</v>
      </c>
      <c r="B10" s="443" t="s">
        <v>154</v>
      </c>
      <c r="C10" s="443">
        <v>98</v>
      </c>
      <c r="D10" s="443">
        <v>2</v>
      </c>
      <c r="E10" s="443">
        <v>100</v>
      </c>
      <c r="V10" s="443">
        <v>2</v>
      </c>
      <c r="W10" s="443">
        <v>59</v>
      </c>
      <c r="X10" s="443">
        <v>35</v>
      </c>
      <c r="Y10" s="443">
        <v>2</v>
      </c>
      <c r="Z10" s="443">
        <v>98</v>
      </c>
      <c r="AR10" s="443">
        <v>2</v>
      </c>
      <c r="AT10" s="443">
        <v>2</v>
      </c>
      <c r="AV10" s="443">
        <v>0</v>
      </c>
      <c r="AW10" s="443">
        <v>0</v>
      </c>
      <c r="AX10" s="443">
        <v>0</v>
      </c>
      <c r="AY10" s="443">
        <v>0</v>
      </c>
      <c r="AZ10" s="443">
        <v>0</v>
      </c>
      <c r="BA10" s="443">
        <v>0</v>
      </c>
      <c r="BB10" s="443">
        <v>0</v>
      </c>
      <c r="BC10" s="443">
        <v>0</v>
      </c>
      <c r="BD10" s="443">
        <v>0</v>
      </c>
      <c r="BE10" s="443">
        <v>0</v>
      </c>
      <c r="BF10" s="443">
        <v>0</v>
      </c>
      <c r="BG10" s="443">
        <v>0</v>
      </c>
      <c r="BH10" s="443">
        <v>0</v>
      </c>
      <c r="BI10" s="443">
        <v>0</v>
      </c>
      <c r="BJ10" s="443">
        <v>2</v>
      </c>
      <c r="BK10" s="443">
        <v>59</v>
      </c>
      <c r="BL10" s="443">
        <v>37</v>
      </c>
      <c r="BM10" s="443">
        <v>2</v>
      </c>
      <c r="BN10" s="443">
        <v>100</v>
      </c>
      <c r="BP10" s="441">
        <v>1000000</v>
      </c>
      <c r="BQ10" s="441">
        <v>883332</v>
      </c>
      <c r="BR10" s="441">
        <v>0</v>
      </c>
      <c r="BS10" s="441">
        <v>83713</v>
      </c>
      <c r="BT10" s="441">
        <v>1967045</v>
      </c>
      <c r="BU10" s="441">
        <v>21460</v>
      </c>
      <c r="BV10" s="441">
        <v>1988505</v>
      </c>
      <c r="BY10" s="441">
        <v>100</v>
      </c>
      <c r="CA10" s="441">
        <v>883332</v>
      </c>
    </row>
    <row r="11" spans="1:88" x14ac:dyDescent="0.25">
      <c r="A11" s="443">
        <v>7029</v>
      </c>
      <c r="B11" s="443" t="s">
        <v>155</v>
      </c>
      <c r="C11" s="443">
        <v>80</v>
      </c>
      <c r="D11" s="443">
        <v>0</v>
      </c>
      <c r="E11" s="443">
        <v>80</v>
      </c>
      <c r="W11" s="443">
        <v>30</v>
      </c>
      <c r="X11" s="443">
        <v>50</v>
      </c>
      <c r="Z11" s="443">
        <v>80</v>
      </c>
      <c r="AT11" s="443">
        <v>0</v>
      </c>
      <c r="AV11" s="443">
        <v>0</v>
      </c>
      <c r="AW11" s="443">
        <v>0</v>
      </c>
      <c r="AX11" s="443">
        <v>0</v>
      </c>
      <c r="AY11" s="443">
        <v>0</v>
      </c>
      <c r="AZ11" s="443">
        <v>0</v>
      </c>
      <c r="BA11" s="443">
        <v>0</v>
      </c>
      <c r="BB11" s="443">
        <v>0</v>
      </c>
      <c r="BC11" s="443">
        <v>0</v>
      </c>
      <c r="BD11" s="443">
        <v>0</v>
      </c>
      <c r="BE11" s="443">
        <v>0</v>
      </c>
      <c r="BF11" s="443">
        <v>0</v>
      </c>
      <c r="BG11" s="443">
        <v>0</v>
      </c>
      <c r="BH11" s="443">
        <v>0</v>
      </c>
      <c r="BI11" s="443">
        <v>0</v>
      </c>
      <c r="BJ11" s="443">
        <v>0</v>
      </c>
      <c r="BK11" s="443">
        <v>30</v>
      </c>
      <c r="BL11" s="443">
        <v>50</v>
      </c>
      <c r="BM11" s="443">
        <v>0</v>
      </c>
      <c r="BN11" s="443">
        <v>80</v>
      </c>
      <c r="BP11" s="441">
        <v>800000</v>
      </c>
      <c r="BQ11" s="441">
        <v>1418796.9636897566</v>
      </c>
      <c r="BR11" s="441">
        <v>0</v>
      </c>
      <c r="BS11" s="441">
        <v>0</v>
      </c>
      <c r="BT11" s="441">
        <v>2218796.9636897566</v>
      </c>
      <c r="BU11" s="441">
        <v>0</v>
      </c>
      <c r="BV11" s="441">
        <v>2218796.9636897566</v>
      </c>
      <c r="BY11" s="441">
        <v>80</v>
      </c>
      <c r="CA11" s="441">
        <v>1418796.9636897566</v>
      </c>
    </row>
    <row r="12" spans="1:88" x14ac:dyDescent="0.25">
      <c r="A12" s="443">
        <v>1104</v>
      </c>
      <c r="B12" s="443" t="s">
        <v>530</v>
      </c>
      <c r="C12" s="443">
        <v>36</v>
      </c>
      <c r="D12" s="443">
        <v>0</v>
      </c>
      <c r="E12" s="443">
        <v>36</v>
      </c>
      <c r="J12" s="443">
        <v>18</v>
      </c>
      <c r="P12" s="443">
        <v>18</v>
      </c>
      <c r="Z12" s="443">
        <v>36</v>
      </c>
      <c r="AT12" s="443">
        <v>0</v>
      </c>
      <c r="AV12" s="443">
        <v>0</v>
      </c>
      <c r="AW12" s="443">
        <v>0</v>
      </c>
      <c r="AX12" s="443">
        <v>18</v>
      </c>
      <c r="AY12" s="443">
        <v>0</v>
      </c>
      <c r="AZ12" s="443">
        <v>0</v>
      </c>
      <c r="BA12" s="443">
        <v>0</v>
      </c>
      <c r="BB12" s="443">
        <v>0</v>
      </c>
      <c r="BC12" s="443">
        <v>0</v>
      </c>
      <c r="BD12" s="443">
        <v>18</v>
      </c>
      <c r="BE12" s="443">
        <v>0</v>
      </c>
      <c r="BF12" s="443">
        <v>0</v>
      </c>
      <c r="BG12" s="443">
        <v>0</v>
      </c>
      <c r="BH12" s="443">
        <v>0</v>
      </c>
      <c r="BI12" s="443">
        <v>0</v>
      </c>
      <c r="BJ12" s="443">
        <v>0</v>
      </c>
      <c r="BK12" s="443">
        <v>0</v>
      </c>
      <c r="BL12" s="443">
        <v>0</v>
      </c>
      <c r="BM12" s="443">
        <v>0</v>
      </c>
      <c r="BN12" s="443">
        <v>36</v>
      </c>
      <c r="BP12" s="441">
        <v>330000</v>
      </c>
      <c r="BQ12" s="441">
        <v>510999.84</v>
      </c>
      <c r="BR12" s="441">
        <v>0</v>
      </c>
      <c r="BS12" s="441">
        <v>0</v>
      </c>
      <c r="BT12" s="441">
        <v>840999.84000000008</v>
      </c>
      <c r="BU12" s="441">
        <v>0</v>
      </c>
      <c r="BV12" s="441">
        <v>840999.84000000008</v>
      </c>
      <c r="BY12" s="441"/>
      <c r="CA12" s="1217">
        <v>511000</v>
      </c>
      <c r="CD12" s="441">
        <v>36</v>
      </c>
      <c r="CE12" s="441">
        <v>510999.84</v>
      </c>
      <c r="CG12" s="1214"/>
      <c r="CH12" s="1216"/>
    </row>
    <row r="13" spans="1:88" x14ac:dyDescent="0.25">
      <c r="A13" s="443">
        <v>1103</v>
      </c>
      <c r="B13" s="443" t="s">
        <v>529</v>
      </c>
      <c r="C13" s="443">
        <v>60</v>
      </c>
      <c r="D13" s="443">
        <v>0</v>
      </c>
      <c r="E13" s="443">
        <v>60</v>
      </c>
      <c r="V13" s="443">
        <v>60</v>
      </c>
      <c r="Z13" s="443">
        <v>60</v>
      </c>
      <c r="AT13" s="443">
        <v>0</v>
      </c>
      <c r="AV13" s="443">
        <v>0</v>
      </c>
      <c r="AW13" s="443">
        <v>0</v>
      </c>
      <c r="AX13" s="443">
        <v>0</v>
      </c>
      <c r="AY13" s="443">
        <v>0</v>
      </c>
      <c r="AZ13" s="443">
        <v>0</v>
      </c>
      <c r="BA13" s="443">
        <v>0</v>
      </c>
      <c r="BB13" s="443">
        <v>0</v>
      </c>
      <c r="BC13" s="443">
        <v>0</v>
      </c>
      <c r="BD13" s="443">
        <v>0</v>
      </c>
      <c r="BE13" s="443">
        <v>0</v>
      </c>
      <c r="BF13" s="443">
        <v>0</v>
      </c>
      <c r="BG13" s="443">
        <v>0</v>
      </c>
      <c r="BH13" s="443">
        <v>0</v>
      </c>
      <c r="BI13" s="443">
        <v>0</v>
      </c>
      <c r="BJ13" s="443">
        <v>60</v>
      </c>
      <c r="BK13" s="443">
        <v>0</v>
      </c>
      <c r="BL13" s="443">
        <v>0</v>
      </c>
      <c r="BM13" s="443">
        <v>0</v>
      </c>
      <c r="BN13" s="443">
        <v>60</v>
      </c>
      <c r="BP13" s="441">
        <v>550000</v>
      </c>
      <c r="BQ13" s="441">
        <v>983365.2</v>
      </c>
      <c r="BR13" s="441">
        <v>0</v>
      </c>
      <c r="BS13" s="441">
        <v>0</v>
      </c>
      <c r="BT13" s="441">
        <v>1533365.2</v>
      </c>
      <c r="BU13" s="441">
        <v>0</v>
      </c>
      <c r="BV13" s="441">
        <v>1533365.2</v>
      </c>
      <c r="BY13" s="441"/>
      <c r="CA13" s="1217">
        <v>983365.2</v>
      </c>
      <c r="CD13" s="441"/>
      <c r="CE13" s="441"/>
      <c r="CG13" s="441">
        <v>60</v>
      </c>
      <c r="CH13" s="441">
        <v>1533365.2</v>
      </c>
    </row>
    <row r="14" spans="1:88" ht="15.75" thickBot="1" x14ac:dyDescent="0.3">
      <c r="A14" s="443" t="s">
        <v>117</v>
      </c>
      <c r="C14" s="449">
        <v>596</v>
      </c>
      <c r="D14" s="449">
        <v>10</v>
      </c>
      <c r="E14" s="449">
        <v>606</v>
      </c>
      <c r="H14" s="450">
        <v>5</v>
      </c>
      <c r="I14" s="450">
        <v>0</v>
      </c>
      <c r="J14" s="450">
        <v>18</v>
      </c>
      <c r="K14" s="450">
        <v>0</v>
      </c>
      <c r="L14" s="450">
        <v>45</v>
      </c>
      <c r="M14" s="450">
        <v>1</v>
      </c>
      <c r="N14" s="450">
        <v>0</v>
      </c>
      <c r="O14" s="450">
        <v>0</v>
      </c>
      <c r="P14" s="450">
        <v>18</v>
      </c>
      <c r="Q14" s="450">
        <v>35</v>
      </c>
      <c r="R14" s="450">
        <v>64</v>
      </c>
      <c r="S14" s="450">
        <v>2</v>
      </c>
      <c r="T14" s="450">
        <v>0</v>
      </c>
      <c r="U14" s="450">
        <v>0</v>
      </c>
      <c r="V14" s="450">
        <v>123</v>
      </c>
      <c r="W14" s="450">
        <v>150</v>
      </c>
      <c r="X14" s="450">
        <v>129</v>
      </c>
      <c r="Y14" s="450">
        <v>6</v>
      </c>
      <c r="Z14" s="450">
        <v>596</v>
      </c>
      <c r="AB14" s="449">
        <v>0</v>
      </c>
      <c r="AC14" s="449">
        <v>0</v>
      </c>
      <c r="AD14" s="449">
        <v>0</v>
      </c>
      <c r="AE14" s="449">
        <v>0</v>
      </c>
      <c r="AF14" s="449">
        <v>0</v>
      </c>
      <c r="AG14" s="449">
        <v>0</v>
      </c>
      <c r="AH14" s="449">
        <v>0</v>
      </c>
      <c r="AI14" s="449">
        <v>0</v>
      </c>
      <c r="AJ14" s="449">
        <v>0</v>
      </c>
      <c r="AK14" s="449">
        <v>0</v>
      </c>
      <c r="AL14" s="449">
        <v>0</v>
      </c>
      <c r="AM14" s="449">
        <v>0</v>
      </c>
      <c r="AN14" s="449">
        <v>0</v>
      </c>
      <c r="AO14" s="449">
        <v>0</v>
      </c>
      <c r="AP14" s="449">
        <v>5</v>
      </c>
      <c r="AQ14" s="449">
        <v>2</v>
      </c>
      <c r="AR14" s="449">
        <v>3</v>
      </c>
      <c r="AS14" s="449">
        <v>0</v>
      </c>
      <c r="AT14" s="449">
        <v>10</v>
      </c>
      <c r="AV14" s="449">
        <v>5</v>
      </c>
      <c r="AW14" s="449">
        <v>0</v>
      </c>
      <c r="AX14" s="449">
        <v>18</v>
      </c>
      <c r="AY14" s="449">
        <v>0</v>
      </c>
      <c r="AZ14" s="449">
        <v>45</v>
      </c>
      <c r="BA14" s="449">
        <v>1</v>
      </c>
      <c r="BB14" s="449">
        <v>0</v>
      </c>
      <c r="BC14" s="449">
        <v>0</v>
      </c>
      <c r="BD14" s="449">
        <v>18</v>
      </c>
      <c r="BE14" s="449">
        <v>35</v>
      </c>
      <c r="BF14" s="449">
        <v>64</v>
      </c>
      <c r="BG14" s="449">
        <v>2</v>
      </c>
      <c r="BH14" s="449">
        <v>0</v>
      </c>
      <c r="BI14" s="449">
        <v>0</v>
      </c>
      <c r="BJ14" s="449">
        <v>128</v>
      </c>
      <c r="BK14" s="449">
        <v>152</v>
      </c>
      <c r="BL14" s="449">
        <v>132</v>
      </c>
      <c r="BM14" s="449">
        <v>6</v>
      </c>
      <c r="BN14" s="449">
        <v>606</v>
      </c>
      <c r="BP14" s="450">
        <v>5980000</v>
      </c>
      <c r="BQ14" s="450">
        <v>7239509.0036897566</v>
      </c>
      <c r="BR14" s="450">
        <v>376295</v>
      </c>
      <c r="BS14" s="450">
        <v>83713</v>
      </c>
      <c r="BT14" s="450">
        <v>13679517.003689755</v>
      </c>
      <c r="BU14" s="450">
        <v>78626</v>
      </c>
      <c r="BV14" s="450">
        <v>13758143.003689755</v>
      </c>
      <c r="BY14" s="450">
        <v>510</v>
      </c>
      <c r="BZ14" s="450">
        <v>0</v>
      </c>
      <c r="CA14" s="450">
        <v>7239509.1636897568</v>
      </c>
      <c r="CB14" s="450">
        <v>0</v>
      </c>
      <c r="CD14" s="450">
        <v>36</v>
      </c>
      <c r="CE14" s="450">
        <v>510999.84</v>
      </c>
      <c r="CG14" s="450">
        <v>60</v>
      </c>
      <c r="CH14" s="450">
        <v>1533365.2</v>
      </c>
      <c r="CJ14" s="441">
        <v>606</v>
      </c>
    </row>
    <row r="16" spans="1:88" x14ac:dyDescent="0.25">
      <c r="BY16" s="443" t="s">
        <v>513</v>
      </c>
      <c r="BZ16" s="443" t="s">
        <v>513</v>
      </c>
      <c r="CA16" s="443" t="s">
        <v>1413</v>
      </c>
      <c r="CB16" s="443" t="s">
        <v>1413</v>
      </c>
    </row>
    <row r="17" spans="1:88" ht="30" x14ac:dyDescent="0.25">
      <c r="B17" s="440" t="s">
        <v>180</v>
      </c>
      <c r="H17" s="444" t="s">
        <v>651</v>
      </c>
      <c r="I17" s="444" t="s">
        <v>161</v>
      </c>
      <c r="J17" s="444" t="s">
        <v>162</v>
      </c>
      <c r="K17" s="444" t="s">
        <v>163</v>
      </c>
      <c r="L17" s="444" t="s">
        <v>164</v>
      </c>
      <c r="M17" s="444" t="s">
        <v>165</v>
      </c>
      <c r="N17" s="444" t="s">
        <v>160</v>
      </c>
      <c r="O17" s="444" t="s">
        <v>161</v>
      </c>
      <c r="P17" s="444" t="s">
        <v>162</v>
      </c>
      <c r="Q17" s="444" t="s">
        <v>163</v>
      </c>
      <c r="R17" s="444" t="s">
        <v>164</v>
      </c>
      <c r="S17" s="444" t="s">
        <v>165</v>
      </c>
      <c r="T17" s="444" t="s">
        <v>160</v>
      </c>
      <c r="U17" s="444" t="s">
        <v>161</v>
      </c>
      <c r="V17" s="444" t="s">
        <v>162</v>
      </c>
      <c r="W17" s="444" t="s">
        <v>163</v>
      </c>
      <c r="X17" s="444" t="s">
        <v>164</v>
      </c>
      <c r="Y17" s="444" t="s">
        <v>165</v>
      </c>
      <c r="Z17" s="444" t="s">
        <v>149</v>
      </c>
      <c r="AB17" s="444" t="s">
        <v>651</v>
      </c>
      <c r="AC17" s="444" t="s">
        <v>161</v>
      </c>
      <c r="AD17" s="444" t="s">
        <v>162</v>
      </c>
      <c r="AE17" s="444" t="s">
        <v>163</v>
      </c>
      <c r="AF17" s="444" t="s">
        <v>164</v>
      </c>
      <c r="AG17" s="444" t="s">
        <v>165</v>
      </c>
      <c r="AH17" s="444" t="s">
        <v>160</v>
      </c>
      <c r="AI17" s="444" t="s">
        <v>161</v>
      </c>
      <c r="AJ17" s="444" t="s">
        <v>162</v>
      </c>
      <c r="AK17" s="444" t="s">
        <v>163</v>
      </c>
      <c r="AL17" s="444" t="s">
        <v>164</v>
      </c>
      <c r="AM17" s="444" t="s">
        <v>165</v>
      </c>
      <c r="AN17" s="444" t="s">
        <v>160</v>
      </c>
      <c r="AO17" s="444" t="s">
        <v>161</v>
      </c>
      <c r="AP17" s="444" t="s">
        <v>162</v>
      </c>
      <c r="AQ17" s="444" t="s">
        <v>163</v>
      </c>
      <c r="AR17" s="444" t="s">
        <v>164</v>
      </c>
      <c r="AS17" s="444" t="s">
        <v>165</v>
      </c>
      <c r="AT17" s="444" t="s">
        <v>149</v>
      </c>
      <c r="AV17" s="444" t="s">
        <v>651</v>
      </c>
      <c r="AW17" s="444" t="s">
        <v>161</v>
      </c>
      <c r="AX17" s="444" t="s">
        <v>162</v>
      </c>
      <c r="AY17" s="444" t="s">
        <v>163</v>
      </c>
      <c r="AZ17" s="444" t="s">
        <v>164</v>
      </c>
      <c r="BA17" s="444" t="s">
        <v>165</v>
      </c>
      <c r="BB17" s="444" t="s">
        <v>160</v>
      </c>
      <c r="BC17" s="444" t="s">
        <v>161</v>
      </c>
      <c r="BD17" s="444" t="s">
        <v>162</v>
      </c>
      <c r="BE17" s="444" t="s">
        <v>163</v>
      </c>
      <c r="BF17" s="444" t="s">
        <v>164</v>
      </c>
      <c r="BG17" s="444" t="s">
        <v>165</v>
      </c>
      <c r="BH17" s="444" t="s">
        <v>160</v>
      </c>
      <c r="BI17" s="444" t="s">
        <v>161</v>
      </c>
      <c r="BJ17" s="444" t="s">
        <v>162</v>
      </c>
      <c r="BK17" s="444" t="s">
        <v>163</v>
      </c>
      <c r="BL17" s="444" t="s">
        <v>164</v>
      </c>
      <c r="BM17" s="444" t="s">
        <v>165</v>
      </c>
      <c r="BN17" s="444" t="s">
        <v>149</v>
      </c>
      <c r="BP17" s="445" t="s">
        <v>166</v>
      </c>
      <c r="BQ17" s="445" t="s">
        <v>167</v>
      </c>
      <c r="BR17" s="445" t="s">
        <v>168</v>
      </c>
      <c r="BS17" s="445" t="s">
        <v>169</v>
      </c>
      <c r="BT17" s="445" t="s">
        <v>170</v>
      </c>
      <c r="BU17" s="445" t="s">
        <v>171</v>
      </c>
      <c r="BV17" s="445" t="s">
        <v>172</v>
      </c>
      <c r="BY17" s="443" t="s">
        <v>1412</v>
      </c>
      <c r="BZ17" s="443" t="s">
        <v>955</v>
      </c>
      <c r="CA17" s="443" t="s">
        <v>1412</v>
      </c>
      <c r="CB17" s="443" t="s">
        <v>955</v>
      </c>
    </row>
    <row r="18" spans="1:88" x14ac:dyDescent="0.25">
      <c r="C18" s="446" t="s">
        <v>181</v>
      </c>
      <c r="D18" s="446" t="s">
        <v>182</v>
      </c>
      <c r="E18" s="446" t="s">
        <v>149</v>
      </c>
      <c r="H18" s="444" t="s">
        <v>176</v>
      </c>
      <c r="I18" s="444" t="s">
        <v>176</v>
      </c>
      <c r="J18" s="444" t="s">
        <v>176</v>
      </c>
      <c r="K18" s="444" t="s">
        <v>176</v>
      </c>
      <c r="L18" s="444" t="s">
        <v>176</v>
      </c>
      <c r="M18" s="444" t="s">
        <v>176</v>
      </c>
      <c r="N18" s="444" t="s">
        <v>177</v>
      </c>
      <c r="O18" s="444" t="s">
        <v>177</v>
      </c>
      <c r="P18" s="444" t="s">
        <v>177</v>
      </c>
      <c r="Q18" s="444" t="s">
        <v>177</v>
      </c>
      <c r="R18" s="444" t="s">
        <v>177</v>
      </c>
      <c r="S18" s="444" t="s">
        <v>177</v>
      </c>
      <c r="T18" s="444" t="s">
        <v>178</v>
      </c>
      <c r="U18" s="444" t="s">
        <v>178</v>
      </c>
      <c r="V18" s="444" t="s">
        <v>178</v>
      </c>
      <c r="W18" s="444" t="s">
        <v>178</v>
      </c>
      <c r="X18" s="444" t="s">
        <v>178</v>
      </c>
      <c r="Y18" s="444" t="s">
        <v>178</v>
      </c>
      <c r="AB18" s="444" t="s">
        <v>176</v>
      </c>
      <c r="AC18" s="444" t="s">
        <v>176</v>
      </c>
      <c r="AD18" s="444" t="s">
        <v>176</v>
      </c>
      <c r="AE18" s="444" t="s">
        <v>176</v>
      </c>
      <c r="AF18" s="444" t="s">
        <v>176</v>
      </c>
      <c r="AG18" s="444" t="s">
        <v>176</v>
      </c>
      <c r="AH18" s="444" t="s">
        <v>177</v>
      </c>
      <c r="AI18" s="444" t="s">
        <v>177</v>
      </c>
      <c r="AJ18" s="444" t="s">
        <v>177</v>
      </c>
      <c r="AK18" s="444" t="s">
        <v>177</v>
      </c>
      <c r="AL18" s="444" t="s">
        <v>177</v>
      </c>
      <c r="AM18" s="444" t="s">
        <v>177</v>
      </c>
      <c r="AN18" s="444" t="s">
        <v>178</v>
      </c>
      <c r="AO18" s="444" t="s">
        <v>178</v>
      </c>
      <c r="AP18" s="444" t="s">
        <v>178</v>
      </c>
      <c r="AQ18" s="444" t="s">
        <v>178</v>
      </c>
      <c r="AR18" s="444" t="s">
        <v>178</v>
      </c>
      <c r="AS18" s="444" t="s">
        <v>178</v>
      </c>
      <c r="AV18" s="444" t="s">
        <v>176</v>
      </c>
      <c r="AW18" s="444" t="s">
        <v>176</v>
      </c>
      <c r="AX18" s="444" t="s">
        <v>176</v>
      </c>
      <c r="AY18" s="444" t="s">
        <v>176</v>
      </c>
      <c r="AZ18" s="444" t="s">
        <v>176</v>
      </c>
      <c r="BA18" s="444" t="s">
        <v>176</v>
      </c>
      <c r="BB18" s="444" t="s">
        <v>177</v>
      </c>
      <c r="BC18" s="444" t="s">
        <v>177</v>
      </c>
      <c r="BD18" s="444" t="s">
        <v>177</v>
      </c>
      <c r="BE18" s="444" t="s">
        <v>177</v>
      </c>
      <c r="BF18" s="444" t="s">
        <v>177</v>
      </c>
      <c r="BG18" s="444" t="s">
        <v>177</v>
      </c>
      <c r="BH18" s="444" t="s">
        <v>178</v>
      </c>
      <c r="BI18" s="444" t="s">
        <v>178</v>
      </c>
      <c r="BJ18" s="444" t="s">
        <v>178</v>
      </c>
      <c r="BK18" s="444" t="s">
        <v>178</v>
      </c>
      <c r="BL18" s="444" t="s">
        <v>178</v>
      </c>
      <c r="BM18" s="444" t="s">
        <v>178</v>
      </c>
    </row>
    <row r="19" spans="1:88" x14ac:dyDescent="0.25">
      <c r="C19" s="446"/>
      <c r="D19" s="446"/>
      <c r="E19" s="446"/>
    </row>
    <row r="20" spans="1:88" x14ac:dyDescent="0.25">
      <c r="A20" s="443">
        <v>7026</v>
      </c>
      <c r="B20" s="443" t="s">
        <v>150</v>
      </c>
      <c r="C20" s="443">
        <v>17</v>
      </c>
      <c r="D20" s="443">
        <v>0</v>
      </c>
      <c r="E20" s="443">
        <v>17</v>
      </c>
      <c r="W20" s="443">
        <v>1</v>
      </c>
      <c r="X20" s="443">
        <v>15</v>
      </c>
      <c r="Y20" s="443">
        <v>1</v>
      </c>
      <c r="Z20" s="443">
        <v>17</v>
      </c>
      <c r="AT20" s="443">
        <v>0</v>
      </c>
      <c r="AV20" s="443">
        <v>0</v>
      </c>
      <c r="AW20" s="443">
        <v>0</v>
      </c>
      <c r="AX20" s="443">
        <v>0</v>
      </c>
      <c r="AY20" s="443">
        <v>0</v>
      </c>
      <c r="AZ20" s="443">
        <v>0</v>
      </c>
      <c r="BA20" s="443">
        <v>0</v>
      </c>
      <c r="BB20" s="443">
        <v>0</v>
      </c>
      <c r="BC20" s="443">
        <v>0</v>
      </c>
      <c r="BD20" s="443">
        <v>0</v>
      </c>
      <c r="BE20" s="443">
        <v>0</v>
      </c>
      <c r="BF20" s="443">
        <v>0</v>
      </c>
      <c r="BG20" s="443">
        <v>0</v>
      </c>
      <c r="BH20" s="443">
        <v>0</v>
      </c>
      <c r="BI20" s="443">
        <v>0</v>
      </c>
      <c r="BJ20" s="443">
        <v>0</v>
      </c>
      <c r="BK20" s="443">
        <v>1</v>
      </c>
      <c r="BL20" s="443">
        <v>15</v>
      </c>
      <c r="BM20" s="443">
        <v>1</v>
      </c>
      <c r="BN20" s="443">
        <v>17</v>
      </c>
      <c r="BP20" s="441">
        <v>170000</v>
      </c>
      <c r="BQ20" s="441">
        <v>310463</v>
      </c>
      <c r="BR20" s="441">
        <v>0</v>
      </c>
      <c r="BS20" s="441">
        <v>0</v>
      </c>
      <c r="BT20" s="441">
        <v>480463</v>
      </c>
      <c r="BU20" s="441">
        <v>0</v>
      </c>
      <c r="BV20" s="441">
        <v>480463</v>
      </c>
      <c r="BZ20" s="441">
        <v>17</v>
      </c>
      <c r="CB20" s="441">
        <v>310463</v>
      </c>
    </row>
    <row r="21" spans="1:88" x14ac:dyDescent="0.25">
      <c r="A21" s="443">
        <v>7027</v>
      </c>
      <c r="B21" s="443" t="s">
        <v>151</v>
      </c>
      <c r="C21" s="443">
        <v>34</v>
      </c>
      <c r="D21" s="443">
        <v>4</v>
      </c>
      <c r="E21" s="443">
        <v>38</v>
      </c>
      <c r="W21" s="443">
        <v>11</v>
      </c>
      <c r="X21" s="443">
        <v>22</v>
      </c>
      <c r="Y21" s="443">
        <v>1</v>
      </c>
      <c r="Z21" s="443">
        <v>34</v>
      </c>
      <c r="AQ21" s="443">
        <v>4</v>
      </c>
      <c r="AT21" s="443">
        <v>4</v>
      </c>
      <c r="AV21" s="443">
        <v>0</v>
      </c>
      <c r="AW21" s="443">
        <v>0</v>
      </c>
      <c r="AX21" s="443">
        <v>0</v>
      </c>
      <c r="AY21" s="443">
        <v>0</v>
      </c>
      <c r="AZ21" s="443">
        <v>0</v>
      </c>
      <c r="BA21" s="443">
        <v>0</v>
      </c>
      <c r="BB21" s="443">
        <v>0</v>
      </c>
      <c r="BC21" s="443">
        <v>0</v>
      </c>
      <c r="BD21" s="443">
        <v>0</v>
      </c>
      <c r="BE21" s="443">
        <v>0</v>
      </c>
      <c r="BF21" s="443">
        <v>0</v>
      </c>
      <c r="BG21" s="443">
        <v>0</v>
      </c>
      <c r="BH21" s="443">
        <v>0</v>
      </c>
      <c r="BI21" s="443">
        <v>0</v>
      </c>
      <c r="BJ21" s="443">
        <v>0</v>
      </c>
      <c r="BK21" s="443">
        <v>15</v>
      </c>
      <c r="BL21" s="443">
        <v>22</v>
      </c>
      <c r="BM21" s="443">
        <v>1</v>
      </c>
      <c r="BN21" s="443">
        <v>38</v>
      </c>
      <c r="BP21" s="441">
        <v>380000</v>
      </c>
      <c r="BQ21" s="441">
        <v>443520</v>
      </c>
      <c r="BR21" s="441">
        <v>0</v>
      </c>
      <c r="BS21" s="441">
        <v>0</v>
      </c>
      <c r="BT21" s="441">
        <v>823520</v>
      </c>
      <c r="BU21" s="441">
        <v>38776</v>
      </c>
      <c r="BV21" s="441">
        <v>862296</v>
      </c>
      <c r="BZ21" s="441">
        <v>38</v>
      </c>
      <c r="CB21" s="441">
        <v>443520</v>
      </c>
    </row>
    <row r="22" spans="1:88" x14ac:dyDescent="0.25">
      <c r="A22" s="443">
        <v>7021</v>
      </c>
      <c r="B22" s="443" t="s">
        <v>154</v>
      </c>
      <c r="C22" s="443">
        <v>24</v>
      </c>
      <c r="D22" s="443">
        <v>0</v>
      </c>
      <c r="E22" s="443">
        <v>24</v>
      </c>
      <c r="V22" s="443">
        <v>19</v>
      </c>
      <c r="W22" s="443">
        <v>3</v>
      </c>
      <c r="X22" s="443">
        <v>1</v>
      </c>
      <c r="Y22" s="443">
        <v>1</v>
      </c>
      <c r="Z22" s="443">
        <v>24</v>
      </c>
      <c r="AT22" s="443">
        <v>0</v>
      </c>
      <c r="AV22" s="443">
        <v>0</v>
      </c>
      <c r="AW22" s="443">
        <v>0</v>
      </c>
      <c r="AX22" s="443">
        <v>0</v>
      </c>
      <c r="AY22" s="443">
        <v>0</v>
      </c>
      <c r="AZ22" s="443">
        <v>0</v>
      </c>
      <c r="BA22" s="443">
        <v>0</v>
      </c>
      <c r="BB22" s="443">
        <v>0</v>
      </c>
      <c r="BC22" s="443">
        <v>0</v>
      </c>
      <c r="BD22" s="443">
        <v>0</v>
      </c>
      <c r="BE22" s="443">
        <v>0</v>
      </c>
      <c r="BF22" s="443">
        <v>0</v>
      </c>
      <c r="BG22" s="443">
        <v>0</v>
      </c>
      <c r="BH22" s="443">
        <v>0</v>
      </c>
      <c r="BI22" s="443">
        <v>0</v>
      </c>
      <c r="BJ22" s="443">
        <v>19</v>
      </c>
      <c r="BK22" s="443">
        <v>3</v>
      </c>
      <c r="BL22" s="443">
        <v>1</v>
      </c>
      <c r="BM22" s="443">
        <v>1</v>
      </c>
      <c r="BN22" s="443">
        <v>24</v>
      </c>
      <c r="BP22" s="441">
        <v>240000</v>
      </c>
      <c r="BQ22" s="441">
        <v>220327</v>
      </c>
      <c r="BR22" s="441">
        <v>0</v>
      </c>
      <c r="BS22" s="441">
        <v>0</v>
      </c>
      <c r="BT22" s="441">
        <v>460327</v>
      </c>
      <c r="BU22" s="441">
        <v>0</v>
      </c>
      <c r="BV22" s="441">
        <v>460327</v>
      </c>
      <c r="BZ22" s="441">
        <v>24</v>
      </c>
      <c r="CB22" s="441">
        <v>220327</v>
      </c>
    </row>
    <row r="23" spans="1:88" ht="15.75" thickBot="1" x14ac:dyDescent="0.3">
      <c r="A23" s="443" t="s">
        <v>517</v>
      </c>
      <c r="C23" s="449">
        <v>75</v>
      </c>
      <c r="D23" s="449">
        <v>4</v>
      </c>
      <c r="E23" s="449">
        <v>79</v>
      </c>
      <c r="H23" s="449">
        <v>0</v>
      </c>
      <c r="I23" s="449">
        <v>0</v>
      </c>
      <c r="J23" s="449">
        <v>0</v>
      </c>
      <c r="K23" s="449">
        <v>0</v>
      </c>
      <c r="L23" s="449">
        <v>0</v>
      </c>
      <c r="M23" s="449">
        <v>0</v>
      </c>
      <c r="N23" s="449">
        <v>0</v>
      </c>
      <c r="O23" s="449">
        <v>0</v>
      </c>
      <c r="P23" s="449">
        <v>0</v>
      </c>
      <c r="Q23" s="449">
        <v>0</v>
      </c>
      <c r="R23" s="449">
        <v>0</v>
      </c>
      <c r="S23" s="449">
        <v>0</v>
      </c>
      <c r="T23" s="449">
        <v>0</v>
      </c>
      <c r="U23" s="449">
        <v>0</v>
      </c>
      <c r="V23" s="449">
        <v>19</v>
      </c>
      <c r="W23" s="449">
        <v>15</v>
      </c>
      <c r="X23" s="449">
        <v>38</v>
      </c>
      <c r="Y23" s="449">
        <v>3</v>
      </c>
      <c r="Z23" s="449">
        <v>75</v>
      </c>
      <c r="AB23" s="449">
        <v>0</v>
      </c>
      <c r="AC23" s="449">
        <v>0</v>
      </c>
      <c r="AD23" s="449">
        <v>0</v>
      </c>
      <c r="AE23" s="449">
        <v>0</v>
      </c>
      <c r="AF23" s="449">
        <v>0</v>
      </c>
      <c r="AG23" s="449">
        <v>0</v>
      </c>
      <c r="AH23" s="449">
        <v>0</v>
      </c>
      <c r="AI23" s="449">
        <v>0</v>
      </c>
      <c r="AJ23" s="449">
        <v>0</v>
      </c>
      <c r="AK23" s="449">
        <v>0</v>
      </c>
      <c r="AL23" s="449">
        <v>0</v>
      </c>
      <c r="AM23" s="449">
        <v>0</v>
      </c>
      <c r="AN23" s="449">
        <v>0</v>
      </c>
      <c r="AO23" s="449">
        <v>0</v>
      </c>
      <c r="AP23" s="449">
        <v>0</v>
      </c>
      <c r="AQ23" s="449">
        <v>4</v>
      </c>
      <c r="AR23" s="449">
        <v>0</v>
      </c>
      <c r="AS23" s="449">
        <v>0</v>
      </c>
      <c r="AT23" s="449">
        <v>4</v>
      </c>
      <c r="AV23" s="449">
        <v>0</v>
      </c>
      <c r="AW23" s="449">
        <v>0</v>
      </c>
      <c r="AX23" s="449">
        <v>0</v>
      </c>
      <c r="AY23" s="449">
        <v>0</v>
      </c>
      <c r="AZ23" s="449">
        <v>0</v>
      </c>
      <c r="BA23" s="449">
        <v>0</v>
      </c>
      <c r="BB23" s="449">
        <v>0</v>
      </c>
      <c r="BC23" s="449">
        <v>0</v>
      </c>
      <c r="BD23" s="449">
        <v>0</v>
      </c>
      <c r="BE23" s="449">
        <v>0</v>
      </c>
      <c r="BF23" s="449">
        <v>0</v>
      </c>
      <c r="BG23" s="449">
        <v>0</v>
      </c>
      <c r="BH23" s="449">
        <v>0</v>
      </c>
      <c r="BI23" s="449">
        <v>0</v>
      </c>
      <c r="BJ23" s="449">
        <v>19</v>
      </c>
      <c r="BK23" s="449">
        <v>19</v>
      </c>
      <c r="BL23" s="449">
        <v>38</v>
      </c>
      <c r="BM23" s="449">
        <v>3</v>
      </c>
      <c r="BN23" s="449">
        <v>79</v>
      </c>
      <c r="BP23" s="450">
        <v>790000</v>
      </c>
      <c r="BQ23" s="450">
        <v>974310</v>
      </c>
      <c r="BR23" s="450">
        <v>0</v>
      </c>
      <c r="BS23" s="450">
        <v>0</v>
      </c>
      <c r="BT23" s="450">
        <v>1764310</v>
      </c>
      <c r="BU23" s="450">
        <v>38776</v>
      </c>
      <c r="BV23" s="450">
        <v>1803086</v>
      </c>
      <c r="BY23" s="450">
        <v>0</v>
      </c>
      <c r="BZ23" s="450">
        <v>79</v>
      </c>
      <c r="CA23" s="450">
        <v>0</v>
      </c>
      <c r="CB23" s="450">
        <v>974310</v>
      </c>
      <c r="CD23" s="450">
        <v>0</v>
      </c>
      <c r="CE23" s="450">
        <v>0</v>
      </c>
      <c r="CJ23" s="441">
        <v>79</v>
      </c>
    </row>
    <row r="24" spans="1:88" x14ac:dyDescent="0.25">
      <c r="CJ24" s="441">
        <v>685</v>
      </c>
    </row>
    <row r="25" spans="1:88" ht="15.75" thickBot="1" x14ac:dyDescent="0.3">
      <c r="B25" s="440" t="s">
        <v>183</v>
      </c>
      <c r="C25" s="451">
        <v>671</v>
      </c>
      <c r="D25" s="451">
        <v>14</v>
      </c>
      <c r="E25" s="451">
        <v>685</v>
      </c>
      <c r="H25" s="451">
        <v>5</v>
      </c>
      <c r="I25" s="451">
        <v>0</v>
      </c>
      <c r="J25" s="451">
        <v>18</v>
      </c>
      <c r="K25" s="451">
        <v>0</v>
      </c>
      <c r="L25" s="451">
        <v>45</v>
      </c>
      <c r="M25" s="451">
        <v>1</v>
      </c>
      <c r="N25" s="451">
        <v>0</v>
      </c>
      <c r="O25" s="451">
        <v>0</v>
      </c>
      <c r="P25" s="451">
        <v>18</v>
      </c>
      <c r="Q25" s="451">
        <v>35</v>
      </c>
      <c r="R25" s="451">
        <v>64</v>
      </c>
      <c r="S25" s="451">
        <v>2</v>
      </c>
      <c r="T25" s="451">
        <v>0</v>
      </c>
      <c r="U25" s="451">
        <v>0</v>
      </c>
      <c r="V25" s="451">
        <v>142</v>
      </c>
      <c r="W25" s="451">
        <v>165</v>
      </c>
      <c r="X25" s="451">
        <v>167</v>
      </c>
      <c r="Y25" s="451">
        <v>9</v>
      </c>
      <c r="Z25" s="451">
        <v>671</v>
      </c>
      <c r="AB25" s="451">
        <v>0</v>
      </c>
      <c r="AC25" s="451">
        <v>0</v>
      </c>
      <c r="AD25" s="451">
        <v>0</v>
      </c>
      <c r="AE25" s="451">
        <v>0</v>
      </c>
      <c r="AF25" s="451">
        <v>0</v>
      </c>
      <c r="AG25" s="451">
        <v>0</v>
      </c>
      <c r="AH25" s="451">
        <v>0</v>
      </c>
      <c r="AI25" s="451">
        <v>0</v>
      </c>
      <c r="AJ25" s="451">
        <v>0</v>
      </c>
      <c r="AK25" s="451">
        <v>0</v>
      </c>
      <c r="AL25" s="451">
        <v>0</v>
      </c>
      <c r="AM25" s="451">
        <v>0</v>
      </c>
      <c r="AN25" s="451">
        <v>0</v>
      </c>
      <c r="AO25" s="451">
        <v>0</v>
      </c>
      <c r="AP25" s="451">
        <v>5</v>
      </c>
      <c r="AQ25" s="451">
        <v>6</v>
      </c>
      <c r="AR25" s="451">
        <v>3</v>
      </c>
      <c r="AS25" s="451">
        <v>0</v>
      </c>
      <c r="AT25" s="451">
        <v>14</v>
      </c>
      <c r="AV25" s="451">
        <v>5</v>
      </c>
      <c r="AW25" s="451">
        <v>0</v>
      </c>
      <c r="AX25" s="451">
        <v>18</v>
      </c>
      <c r="AY25" s="451">
        <v>0</v>
      </c>
      <c r="AZ25" s="451">
        <v>45</v>
      </c>
      <c r="BA25" s="451">
        <v>1</v>
      </c>
      <c r="BB25" s="451">
        <v>0</v>
      </c>
      <c r="BC25" s="451">
        <v>0</v>
      </c>
      <c r="BD25" s="451">
        <v>18</v>
      </c>
      <c r="BE25" s="451">
        <v>35</v>
      </c>
      <c r="BF25" s="451">
        <v>64</v>
      </c>
      <c r="BG25" s="451">
        <v>2</v>
      </c>
      <c r="BH25" s="451">
        <v>0</v>
      </c>
      <c r="BI25" s="451">
        <v>0</v>
      </c>
      <c r="BJ25" s="451">
        <v>147</v>
      </c>
      <c r="BK25" s="451">
        <v>171</v>
      </c>
      <c r="BL25" s="451">
        <v>170</v>
      </c>
      <c r="BM25" s="451">
        <v>9</v>
      </c>
      <c r="BN25" s="451">
        <v>685</v>
      </c>
      <c r="BP25" s="452">
        <v>6770000</v>
      </c>
      <c r="BQ25" s="452">
        <v>8213819.0036897566</v>
      </c>
      <c r="BR25" s="452">
        <v>376295</v>
      </c>
      <c r="BS25" s="452">
        <v>83713</v>
      </c>
      <c r="BT25" s="452">
        <v>15443827.003689755</v>
      </c>
      <c r="BU25" s="452">
        <v>117402</v>
      </c>
      <c r="BV25" s="452">
        <v>15561229.003689755</v>
      </c>
      <c r="BW25" s="453"/>
    </row>
    <row r="28" spans="1:88" x14ac:dyDescent="0.25">
      <c r="B28" s="440" t="s">
        <v>149</v>
      </c>
    </row>
    <row r="29" spans="1:88" x14ac:dyDescent="0.25">
      <c r="C29" s="446" t="s">
        <v>184</v>
      </c>
      <c r="D29" s="446" t="s">
        <v>185</v>
      </c>
      <c r="E29" s="446" t="s">
        <v>149</v>
      </c>
      <c r="H29" s="444" t="s">
        <v>176</v>
      </c>
      <c r="I29" s="444" t="s">
        <v>176</v>
      </c>
      <c r="J29" s="444" t="s">
        <v>176</v>
      </c>
      <c r="K29" s="444" t="s">
        <v>176</v>
      </c>
      <c r="L29" s="444" t="s">
        <v>176</v>
      </c>
      <c r="M29" s="444" t="s">
        <v>176</v>
      </c>
      <c r="N29" s="444" t="s">
        <v>177</v>
      </c>
      <c r="O29" s="444" t="s">
        <v>177</v>
      </c>
      <c r="P29" s="444" t="s">
        <v>177</v>
      </c>
      <c r="Q29" s="444" t="s">
        <v>177</v>
      </c>
      <c r="R29" s="444" t="s">
        <v>177</v>
      </c>
      <c r="S29" s="444" t="s">
        <v>177</v>
      </c>
      <c r="T29" s="444" t="s">
        <v>178</v>
      </c>
      <c r="U29" s="444" t="s">
        <v>178</v>
      </c>
      <c r="V29" s="444" t="s">
        <v>178</v>
      </c>
      <c r="W29" s="444" t="s">
        <v>178</v>
      </c>
      <c r="X29" s="444" t="s">
        <v>178</v>
      </c>
      <c r="Y29" s="444" t="s">
        <v>178</v>
      </c>
      <c r="AB29" s="444" t="s">
        <v>176</v>
      </c>
      <c r="AC29" s="444" t="s">
        <v>176</v>
      </c>
      <c r="AD29" s="444" t="s">
        <v>176</v>
      </c>
      <c r="AE29" s="444" t="s">
        <v>176</v>
      </c>
      <c r="AF29" s="444" t="s">
        <v>176</v>
      </c>
      <c r="AG29" s="444" t="s">
        <v>176</v>
      </c>
      <c r="AH29" s="444" t="s">
        <v>177</v>
      </c>
      <c r="AI29" s="444" t="s">
        <v>177</v>
      </c>
      <c r="AJ29" s="444" t="s">
        <v>177</v>
      </c>
      <c r="AK29" s="444" t="s">
        <v>177</v>
      </c>
      <c r="AL29" s="444" t="s">
        <v>177</v>
      </c>
      <c r="AM29" s="444" t="s">
        <v>177</v>
      </c>
      <c r="AN29" s="444" t="s">
        <v>178</v>
      </c>
      <c r="AO29" s="444" t="s">
        <v>178</v>
      </c>
      <c r="AP29" s="444" t="s">
        <v>178</v>
      </c>
      <c r="AQ29" s="444" t="s">
        <v>178</v>
      </c>
      <c r="AR29" s="444" t="s">
        <v>178</v>
      </c>
      <c r="AS29" s="444" t="s">
        <v>178</v>
      </c>
      <c r="AV29" s="444" t="s">
        <v>176</v>
      </c>
      <c r="AW29" s="444" t="s">
        <v>176</v>
      </c>
      <c r="AX29" s="444" t="s">
        <v>176</v>
      </c>
      <c r="AY29" s="444" t="s">
        <v>176</v>
      </c>
      <c r="AZ29" s="444" t="s">
        <v>176</v>
      </c>
      <c r="BA29" s="444" t="s">
        <v>176</v>
      </c>
      <c r="BB29" s="444" t="s">
        <v>177</v>
      </c>
      <c r="BC29" s="444" t="s">
        <v>177</v>
      </c>
      <c r="BD29" s="444" t="s">
        <v>177</v>
      </c>
      <c r="BE29" s="444" t="s">
        <v>177</v>
      </c>
      <c r="BF29" s="444" t="s">
        <v>177</v>
      </c>
      <c r="BG29" s="444" t="s">
        <v>177</v>
      </c>
      <c r="BH29" s="444" t="s">
        <v>178</v>
      </c>
      <c r="BI29" s="444" t="s">
        <v>178</v>
      </c>
      <c r="BJ29" s="444" t="s">
        <v>178</v>
      </c>
      <c r="BK29" s="444" t="s">
        <v>178</v>
      </c>
      <c r="BL29" s="444" t="s">
        <v>178</v>
      </c>
      <c r="BM29" s="444" t="s">
        <v>178</v>
      </c>
    </row>
    <row r="30" spans="1:88" x14ac:dyDescent="0.25">
      <c r="C30" s="446"/>
      <c r="D30" s="446"/>
      <c r="E30" s="446"/>
    </row>
    <row r="31" spans="1:88" s="440" customFormat="1" x14ac:dyDescent="0.25">
      <c r="B31" s="440" t="s">
        <v>150</v>
      </c>
      <c r="C31" s="440">
        <v>83</v>
      </c>
      <c r="D31" s="440">
        <v>1</v>
      </c>
      <c r="E31" s="440">
        <v>84</v>
      </c>
      <c r="H31" s="440">
        <v>4</v>
      </c>
      <c r="I31" s="440">
        <v>0</v>
      </c>
      <c r="J31" s="440">
        <v>0</v>
      </c>
      <c r="K31" s="440">
        <v>0</v>
      </c>
      <c r="L31" s="440">
        <v>18</v>
      </c>
      <c r="M31" s="440">
        <v>1</v>
      </c>
      <c r="N31" s="440">
        <v>0</v>
      </c>
      <c r="O31" s="440">
        <v>0</v>
      </c>
      <c r="P31" s="440">
        <v>0</v>
      </c>
      <c r="Q31" s="440">
        <v>0</v>
      </c>
      <c r="R31" s="440">
        <v>19</v>
      </c>
      <c r="S31" s="440">
        <v>0</v>
      </c>
      <c r="T31" s="440">
        <v>0</v>
      </c>
      <c r="U31" s="440">
        <v>0</v>
      </c>
      <c r="V31" s="440">
        <v>0</v>
      </c>
      <c r="W31" s="440">
        <v>5</v>
      </c>
      <c r="X31" s="440">
        <v>34</v>
      </c>
      <c r="Y31" s="440">
        <v>2</v>
      </c>
      <c r="Z31" s="440">
        <v>83</v>
      </c>
      <c r="AB31" s="440">
        <v>0</v>
      </c>
      <c r="AC31" s="440">
        <v>0</v>
      </c>
      <c r="AD31" s="440">
        <v>0</v>
      </c>
      <c r="AE31" s="440">
        <v>0</v>
      </c>
      <c r="AF31" s="440">
        <v>0</v>
      </c>
      <c r="AG31" s="440">
        <v>0</v>
      </c>
      <c r="AH31" s="440">
        <v>0</v>
      </c>
      <c r="AI31" s="440">
        <v>0</v>
      </c>
      <c r="AJ31" s="440">
        <v>0</v>
      </c>
      <c r="AK31" s="440">
        <v>0</v>
      </c>
      <c r="AL31" s="440">
        <v>0</v>
      </c>
      <c r="AM31" s="440">
        <v>0</v>
      </c>
      <c r="AN31" s="440">
        <v>0</v>
      </c>
      <c r="AO31" s="440">
        <v>0</v>
      </c>
      <c r="AP31" s="440">
        <v>0</v>
      </c>
      <c r="AQ31" s="440">
        <v>0</v>
      </c>
      <c r="AR31" s="440">
        <v>1</v>
      </c>
      <c r="AS31" s="440">
        <v>0</v>
      </c>
      <c r="AT31" s="440">
        <v>1</v>
      </c>
      <c r="AV31" s="440">
        <v>4</v>
      </c>
      <c r="AW31" s="440">
        <v>0</v>
      </c>
      <c r="AX31" s="440">
        <v>0</v>
      </c>
      <c r="AY31" s="440">
        <v>0</v>
      </c>
      <c r="AZ31" s="440">
        <v>18</v>
      </c>
      <c r="BA31" s="440">
        <v>1</v>
      </c>
      <c r="BB31" s="440">
        <v>0</v>
      </c>
      <c r="BC31" s="440">
        <v>0</v>
      </c>
      <c r="BD31" s="440">
        <v>0</v>
      </c>
      <c r="BE31" s="440">
        <v>0</v>
      </c>
      <c r="BF31" s="440">
        <v>19</v>
      </c>
      <c r="BG31" s="440">
        <v>0</v>
      </c>
      <c r="BH31" s="440">
        <v>0</v>
      </c>
      <c r="BI31" s="440">
        <v>0</v>
      </c>
      <c r="BJ31" s="440">
        <v>0</v>
      </c>
      <c r="BK31" s="440">
        <v>5</v>
      </c>
      <c r="BL31" s="440">
        <v>35</v>
      </c>
      <c r="BM31" s="440">
        <v>2</v>
      </c>
      <c r="BN31" s="440">
        <v>84</v>
      </c>
      <c r="BP31" s="442">
        <v>840000</v>
      </c>
      <c r="BQ31" s="442">
        <v>1429801</v>
      </c>
      <c r="BR31" s="442">
        <v>0</v>
      </c>
      <c r="BS31" s="442">
        <v>0</v>
      </c>
      <c r="BT31" s="442">
        <v>2269801</v>
      </c>
      <c r="BU31" s="442">
        <v>15916</v>
      </c>
      <c r="BV31" s="442">
        <v>2285717</v>
      </c>
    </row>
    <row r="32" spans="1:88" s="440" customFormat="1" x14ac:dyDescent="0.25">
      <c r="B32" s="440" t="s">
        <v>151</v>
      </c>
      <c r="C32" s="440">
        <v>95</v>
      </c>
      <c r="D32" s="440">
        <v>6</v>
      </c>
      <c r="E32" s="440">
        <v>101</v>
      </c>
      <c r="H32" s="440">
        <v>0</v>
      </c>
      <c r="I32" s="440">
        <v>0</v>
      </c>
      <c r="J32" s="440">
        <v>0</v>
      </c>
      <c r="K32" s="440">
        <v>0</v>
      </c>
      <c r="L32" s="440">
        <v>0</v>
      </c>
      <c r="M32" s="440">
        <v>0</v>
      </c>
      <c r="N32" s="440">
        <v>0</v>
      </c>
      <c r="O32" s="440">
        <v>0</v>
      </c>
      <c r="P32" s="440">
        <v>0</v>
      </c>
      <c r="Q32" s="440">
        <v>0</v>
      </c>
      <c r="R32" s="440">
        <v>0</v>
      </c>
      <c r="S32" s="440">
        <v>0</v>
      </c>
      <c r="T32" s="440">
        <v>0</v>
      </c>
      <c r="U32" s="440">
        <v>0</v>
      </c>
      <c r="V32" s="440">
        <v>0</v>
      </c>
      <c r="W32" s="440">
        <v>48</v>
      </c>
      <c r="X32" s="440">
        <v>43</v>
      </c>
      <c r="Y32" s="440">
        <v>4</v>
      </c>
      <c r="Z32" s="440">
        <v>95</v>
      </c>
      <c r="AB32" s="440">
        <v>0</v>
      </c>
      <c r="AC32" s="440">
        <v>0</v>
      </c>
      <c r="AD32" s="440">
        <v>0</v>
      </c>
      <c r="AE32" s="440">
        <v>0</v>
      </c>
      <c r="AF32" s="440">
        <v>0</v>
      </c>
      <c r="AG32" s="440">
        <v>0</v>
      </c>
      <c r="AH32" s="440">
        <v>0</v>
      </c>
      <c r="AI32" s="440">
        <v>0</v>
      </c>
      <c r="AJ32" s="440">
        <v>0</v>
      </c>
      <c r="AK32" s="440">
        <v>0</v>
      </c>
      <c r="AL32" s="440">
        <v>0</v>
      </c>
      <c r="AM32" s="440">
        <v>0</v>
      </c>
      <c r="AN32" s="440">
        <v>0</v>
      </c>
      <c r="AO32" s="440">
        <v>0</v>
      </c>
      <c r="AP32" s="440">
        <v>0</v>
      </c>
      <c r="AQ32" s="440">
        <v>6</v>
      </c>
      <c r="AR32" s="440">
        <v>0</v>
      </c>
      <c r="AS32" s="440">
        <v>0</v>
      </c>
      <c r="AT32" s="440">
        <v>6</v>
      </c>
      <c r="AV32" s="440">
        <v>0</v>
      </c>
      <c r="AW32" s="440">
        <v>0</v>
      </c>
      <c r="AX32" s="440">
        <v>0</v>
      </c>
      <c r="AY32" s="440">
        <v>0</v>
      </c>
      <c r="AZ32" s="440">
        <v>0</v>
      </c>
      <c r="BA32" s="440">
        <v>0</v>
      </c>
      <c r="BB32" s="440">
        <v>0</v>
      </c>
      <c r="BC32" s="440">
        <v>0</v>
      </c>
      <c r="BD32" s="440">
        <v>0</v>
      </c>
      <c r="BE32" s="440">
        <v>0</v>
      </c>
      <c r="BF32" s="440">
        <v>0</v>
      </c>
      <c r="BG32" s="440">
        <v>0</v>
      </c>
      <c r="BH32" s="440">
        <v>0</v>
      </c>
      <c r="BI32" s="440">
        <v>0</v>
      </c>
      <c r="BJ32" s="440">
        <v>0</v>
      </c>
      <c r="BK32" s="440">
        <v>54</v>
      </c>
      <c r="BL32" s="440">
        <v>43</v>
      </c>
      <c r="BM32" s="440">
        <v>4</v>
      </c>
      <c r="BN32" s="440">
        <v>101</v>
      </c>
      <c r="BP32" s="442">
        <v>1010000</v>
      </c>
      <c r="BQ32" s="442">
        <v>1126477</v>
      </c>
      <c r="BR32" s="442">
        <v>376295</v>
      </c>
      <c r="BS32" s="442">
        <v>0</v>
      </c>
      <c r="BT32" s="442">
        <v>2512772</v>
      </c>
      <c r="BU32" s="442">
        <v>55836</v>
      </c>
      <c r="BV32" s="442">
        <v>2568608</v>
      </c>
    </row>
    <row r="33" spans="1:83" s="440" customFormat="1" x14ac:dyDescent="0.25">
      <c r="B33" s="440" t="s">
        <v>152</v>
      </c>
      <c r="C33" s="440">
        <v>85</v>
      </c>
      <c r="D33" s="440">
        <v>5</v>
      </c>
      <c r="E33" s="440">
        <v>90</v>
      </c>
      <c r="H33" s="440">
        <v>0</v>
      </c>
      <c r="I33" s="440">
        <v>0</v>
      </c>
      <c r="J33" s="440">
        <v>0</v>
      </c>
      <c r="K33" s="440">
        <v>0</v>
      </c>
      <c r="L33" s="440">
        <v>0</v>
      </c>
      <c r="M33" s="440">
        <v>0</v>
      </c>
      <c r="N33" s="440">
        <v>0</v>
      </c>
      <c r="O33" s="440">
        <v>0</v>
      </c>
      <c r="P33" s="440">
        <v>0</v>
      </c>
      <c r="Q33" s="440">
        <v>0</v>
      </c>
      <c r="R33" s="440">
        <v>0</v>
      </c>
      <c r="S33" s="440">
        <v>0</v>
      </c>
      <c r="T33" s="440">
        <v>0</v>
      </c>
      <c r="U33" s="440">
        <v>0</v>
      </c>
      <c r="V33" s="440">
        <v>61</v>
      </c>
      <c r="W33" s="440">
        <v>20</v>
      </c>
      <c r="X33" s="440">
        <v>4</v>
      </c>
      <c r="Y33" s="440">
        <v>0</v>
      </c>
      <c r="Z33" s="440">
        <v>85</v>
      </c>
      <c r="AB33" s="440">
        <v>0</v>
      </c>
      <c r="AC33" s="440">
        <v>0</v>
      </c>
      <c r="AD33" s="440">
        <v>0</v>
      </c>
      <c r="AE33" s="440">
        <v>0</v>
      </c>
      <c r="AF33" s="440">
        <v>0</v>
      </c>
      <c r="AG33" s="440">
        <v>0</v>
      </c>
      <c r="AH33" s="440">
        <v>0</v>
      </c>
      <c r="AI33" s="440">
        <v>0</v>
      </c>
      <c r="AJ33" s="440">
        <v>0</v>
      </c>
      <c r="AK33" s="440">
        <v>0</v>
      </c>
      <c r="AL33" s="440">
        <v>0</v>
      </c>
      <c r="AM33" s="440">
        <v>0</v>
      </c>
      <c r="AN33" s="440">
        <v>0</v>
      </c>
      <c r="AO33" s="440">
        <v>0</v>
      </c>
      <c r="AP33" s="440">
        <v>5</v>
      </c>
      <c r="AQ33" s="440">
        <v>0</v>
      </c>
      <c r="AR33" s="440">
        <v>0</v>
      </c>
      <c r="AS33" s="440">
        <v>0</v>
      </c>
      <c r="AT33" s="440">
        <v>5</v>
      </c>
      <c r="AV33" s="440">
        <v>0</v>
      </c>
      <c r="AW33" s="440">
        <v>0</v>
      </c>
      <c r="AX33" s="440">
        <v>0</v>
      </c>
      <c r="AY33" s="440">
        <v>0</v>
      </c>
      <c r="AZ33" s="440">
        <v>0</v>
      </c>
      <c r="BA33" s="440">
        <v>0</v>
      </c>
      <c r="BB33" s="440">
        <v>0</v>
      </c>
      <c r="BC33" s="440">
        <v>0</v>
      </c>
      <c r="BD33" s="440">
        <v>0</v>
      </c>
      <c r="BE33" s="440">
        <v>0</v>
      </c>
      <c r="BF33" s="440">
        <v>0</v>
      </c>
      <c r="BG33" s="440">
        <v>0</v>
      </c>
      <c r="BH33" s="440">
        <v>0</v>
      </c>
      <c r="BI33" s="440">
        <v>0</v>
      </c>
      <c r="BJ33" s="440">
        <v>66</v>
      </c>
      <c r="BK33" s="440">
        <v>20</v>
      </c>
      <c r="BL33" s="440">
        <v>4</v>
      </c>
      <c r="BM33" s="440">
        <v>0</v>
      </c>
      <c r="BN33" s="440">
        <v>90</v>
      </c>
      <c r="BP33" s="442">
        <v>900000</v>
      </c>
      <c r="BQ33" s="442">
        <v>430586</v>
      </c>
      <c r="BR33" s="442">
        <v>0</v>
      </c>
      <c r="BS33" s="442">
        <v>0</v>
      </c>
      <c r="BT33" s="442">
        <v>1330586</v>
      </c>
      <c r="BU33" s="442">
        <v>24190</v>
      </c>
      <c r="BV33" s="442">
        <v>1354776</v>
      </c>
    </row>
    <row r="34" spans="1:83" s="440" customFormat="1" x14ac:dyDescent="0.25">
      <c r="B34" s="440" t="s">
        <v>153</v>
      </c>
      <c r="C34" s="440">
        <v>110</v>
      </c>
      <c r="D34" s="440">
        <v>0</v>
      </c>
      <c r="E34" s="440">
        <v>110</v>
      </c>
      <c r="H34" s="440">
        <v>1</v>
      </c>
      <c r="I34" s="440">
        <v>0</v>
      </c>
      <c r="J34" s="440">
        <v>0</v>
      </c>
      <c r="K34" s="440">
        <v>0</v>
      </c>
      <c r="L34" s="440">
        <v>27</v>
      </c>
      <c r="M34" s="440">
        <v>0</v>
      </c>
      <c r="N34" s="440">
        <v>0</v>
      </c>
      <c r="O34" s="440">
        <v>0</v>
      </c>
      <c r="P34" s="440">
        <v>0</v>
      </c>
      <c r="Q34" s="440">
        <v>35</v>
      </c>
      <c r="R34" s="440">
        <v>45</v>
      </c>
      <c r="S34" s="440">
        <v>2</v>
      </c>
      <c r="T34" s="440">
        <v>0</v>
      </c>
      <c r="U34" s="440">
        <v>0</v>
      </c>
      <c r="V34" s="440">
        <v>0</v>
      </c>
      <c r="W34" s="440">
        <v>0</v>
      </c>
      <c r="X34" s="440">
        <v>0</v>
      </c>
      <c r="Y34" s="440">
        <v>0</v>
      </c>
      <c r="Z34" s="440">
        <v>110</v>
      </c>
      <c r="AB34" s="440">
        <v>0</v>
      </c>
      <c r="AC34" s="440">
        <v>0</v>
      </c>
      <c r="AD34" s="440">
        <v>0</v>
      </c>
      <c r="AE34" s="440">
        <v>0</v>
      </c>
      <c r="AF34" s="440">
        <v>0</v>
      </c>
      <c r="AG34" s="440">
        <v>0</v>
      </c>
      <c r="AH34" s="440">
        <v>0</v>
      </c>
      <c r="AI34" s="440">
        <v>0</v>
      </c>
      <c r="AJ34" s="440">
        <v>0</v>
      </c>
      <c r="AK34" s="440">
        <v>0</v>
      </c>
      <c r="AL34" s="440">
        <v>0</v>
      </c>
      <c r="AM34" s="440">
        <v>0</v>
      </c>
      <c r="AN34" s="440">
        <v>0</v>
      </c>
      <c r="AO34" s="440">
        <v>0</v>
      </c>
      <c r="AP34" s="440">
        <v>0</v>
      </c>
      <c r="AQ34" s="440">
        <v>0</v>
      </c>
      <c r="AR34" s="440">
        <v>0</v>
      </c>
      <c r="AS34" s="440">
        <v>0</v>
      </c>
      <c r="AT34" s="440">
        <v>0</v>
      </c>
      <c r="AV34" s="440">
        <v>1</v>
      </c>
      <c r="AW34" s="440">
        <v>0</v>
      </c>
      <c r="AX34" s="440">
        <v>0</v>
      </c>
      <c r="AY34" s="440">
        <v>0</v>
      </c>
      <c r="AZ34" s="440">
        <v>27</v>
      </c>
      <c r="BA34" s="440">
        <v>0</v>
      </c>
      <c r="BB34" s="440">
        <v>0</v>
      </c>
      <c r="BC34" s="440">
        <v>0</v>
      </c>
      <c r="BD34" s="440">
        <v>0</v>
      </c>
      <c r="BE34" s="440">
        <v>35</v>
      </c>
      <c r="BF34" s="440">
        <v>45</v>
      </c>
      <c r="BG34" s="440">
        <v>2</v>
      </c>
      <c r="BH34" s="440">
        <v>0</v>
      </c>
      <c r="BI34" s="440">
        <v>0</v>
      </c>
      <c r="BJ34" s="440">
        <v>0</v>
      </c>
      <c r="BK34" s="440">
        <v>0</v>
      </c>
      <c r="BL34" s="440">
        <v>0</v>
      </c>
      <c r="BM34" s="440">
        <v>0</v>
      </c>
      <c r="BN34" s="440">
        <v>110</v>
      </c>
      <c r="BP34" s="442">
        <v>1100000</v>
      </c>
      <c r="BQ34" s="442">
        <v>1210134</v>
      </c>
      <c r="BR34" s="442">
        <v>0</v>
      </c>
      <c r="BS34" s="442">
        <v>0</v>
      </c>
      <c r="BT34" s="442">
        <v>2310134</v>
      </c>
      <c r="BU34" s="442">
        <v>0</v>
      </c>
      <c r="BV34" s="442">
        <v>2310134</v>
      </c>
    </row>
    <row r="35" spans="1:83" s="440" customFormat="1" x14ac:dyDescent="0.25">
      <c r="B35" s="440" t="s">
        <v>154</v>
      </c>
      <c r="C35" s="440">
        <v>122</v>
      </c>
      <c r="D35" s="440">
        <v>2</v>
      </c>
      <c r="E35" s="440">
        <v>124</v>
      </c>
      <c r="H35" s="440">
        <v>0</v>
      </c>
      <c r="I35" s="440">
        <v>0</v>
      </c>
      <c r="J35" s="440">
        <v>0</v>
      </c>
      <c r="K35" s="440">
        <v>0</v>
      </c>
      <c r="L35" s="440">
        <v>0</v>
      </c>
      <c r="M35" s="440">
        <v>0</v>
      </c>
      <c r="N35" s="440">
        <v>0</v>
      </c>
      <c r="O35" s="440">
        <v>0</v>
      </c>
      <c r="P35" s="440">
        <v>0</v>
      </c>
      <c r="Q35" s="440">
        <v>0</v>
      </c>
      <c r="R35" s="440">
        <v>0</v>
      </c>
      <c r="S35" s="440">
        <v>0</v>
      </c>
      <c r="T35" s="440">
        <v>0</v>
      </c>
      <c r="U35" s="440">
        <v>0</v>
      </c>
      <c r="V35" s="440">
        <v>21</v>
      </c>
      <c r="W35" s="440">
        <v>62</v>
      </c>
      <c r="X35" s="440">
        <v>36</v>
      </c>
      <c r="Y35" s="440">
        <v>3</v>
      </c>
      <c r="Z35" s="440">
        <v>122</v>
      </c>
      <c r="AB35" s="440">
        <v>0</v>
      </c>
      <c r="AC35" s="440">
        <v>0</v>
      </c>
      <c r="AD35" s="440">
        <v>0</v>
      </c>
      <c r="AE35" s="440">
        <v>0</v>
      </c>
      <c r="AF35" s="440">
        <v>0</v>
      </c>
      <c r="AG35" s="440">
        <v>0</v>
      </c>
      <c r="AH35" s="440">
        <v>0</v>
      </c>
      <c r="AI35" s="440">
        <v>0</v>
      </c>
      <c r="AJ35" s="440">
        <v>0</v>
      </c>
      <c r="AK35" s="440">
        <v>0</v>
      </c>
      <c r="AL35" s="440">
        <v>0</v>
      </c>
      <c r="AM35" s="440">
        <v>0</v>
      </c>
      <c r="AN35" s="440">
        <v>0</v>
      </c>
      <c r="AO35" s="440">
        <v>0</v>
      </c>
      <c r="AP35" s="440">
        <v>0</v>
      </c>
      <c r="AQ35" s="440">
        <v>0</v>
      </c>
      <c r="AR35" s="440">
        <v>2</v>
      </c>
      <c r="AS35" s="440">
        <v>0</v>
      </c>
      <c r="AT35" s="440">
        <v>2</v>
      </c>
      <c r="AV35" s="440">
        <v>0</v>
      </c>
      <c r="AW35" s="440">
        <v>0</v>
      </c>
      <c r="AX35" s="440">
        <v>0</v>
      </c>
      <c r="AY35" s="440">
        <v>0</v>
      </c>
      <c r="AZ35" s="440">
        <v>0</v>
      </c>
      <c r="BA35" s="440">
        <v>0</v>
      </c>
      <c r="BB35" s="440">
        <v>0</v>
      </c>
      <c r="BC35" s="440">
        <v>0</v>
      </c>
      <c r="BD35" s="440">
        <v>0</v>
      </c>
      <c r="BE35" s="440">
        <v>0</v>
      </c>
      <c r="BF35" s="440">
        <v>0</v>
      </c>
      <c r="BG35" s="440">
        <v>0</v>
      </c>
      <c r="BH35" s="440">
        <v>0</v>
      </c>
      <c r="BI35" s="440">
        <v>0</v>
      </c>
      <c r="BJ35" s="440">
        <v>21</v>
      </c>
      <c r="BK35" s="440">
        <v>62</v>
      </c>
      <c r="BL35" s="440">
        <v>38</v>
      </c>
      <c r="BM35" s="440">
        <v>3</v>
      </c>
      <c r="BN35" s="440">
        <v>124</v>
      </c>
      <c r="BP35" s="442">
        <v>1240000</v>
      </c>
      <c r="BQ35" s="442">
        <v>1103659</v>
      </c>
      <c r="BR35" s="442">
        <v>0</v>
      </c>
      <c r="BS35" s="442">
        <v>83713</v>
      </c>
      <c r="BT35" s="442">
        <v>2427372</v>
      </c>
      <c r="BU35" s="442">
        <v>21460</v>
      </c>
      <c r="BV35" s="442">
        <v>2448832</v>
      </c>
    </row>
    <row r="36" spans="1:83" s="440" customFormat="1" x14ac:dyDescent="0.25">
      <c r="B36" s="440" t="s">
        <v>155</v>
      </c>
      <c r="C36" s="440">
        <v>80</v>
      </c>
      <c r="D36" s="440">
        <v>0</v>
      </c>
      <c r="E36" s="440">
        <v>80</v>
      </c>
      <c r="H36" s="440">
        <v>0</v>
      </c>
      <c r="I36" s="440">
        <v>0</v>
      </c>
      <c r="J36" s="440">
        <v>0</v>
      </c>
      <c r="K36" s="440">
        <v>0</v>
      </c>
      <c r="L36" s="440">
        <v>0</v>
      </c>
      <c r="M36" s="440">
        <v>0</v>
      </c>
      <c r="N36" s="440">
        <v>0</v>
      </c>
      <c r="O36" s="440">
        <v>0</v>
      </c>
      <c r="P36" s="440">
        <v>0</v>
      </c>
      <c r="Q36" s="440">
        <v>0</v>
      </c>
      <c r="R36" s="440">
        <v>0</v>
      </c>
      <c r="S36" s="440">
        <v>0</v>
      </c>
      <c r="T36" s="440">
        <v>0</v>
      </c>
      <c r="U36" s="440">
        <v>0</v>
      </c>
      <c r="V36" s="440">
        <v>0</v>
      </c>
      <c r="W36" s="440">
        <v>30</v>
      </c>
      <c r="X36" s="440">
        <v>50</v>
      </c>
      <c r="Y36" s="440">
        <v>0</v>
      </c>
      <c r="Z36" s="440">
        <v>80</v>
      </c>
      <c r="AB36" s="440">
        <v>0</v>
      </c>
      <c r="AC36" s="440">
        <v>0</v>
      </c>
      <c r="AD36" s="440">
        <v>0</v>
      </c>
      <c r="AE36" s="440">
        <v>0</v>
      </c>
      <c r="AF36" s="440">
        <v>0</v>
      </c>
      <c r="AG36" s="440">
        <v>0</v>
      </c>
      <c r="AH36" s="440">
        <v>0</v>
      </c>
      <c r="AI36" s="440">
        <v>0</v>
      </c>
      <c r="AJ36" s="440">
        <v>0</v>
      </c>
      <c r="AK36" s="440">
        <v>0</v>
      </c>
      <c r="AL36" s="440">
        <v>0</v>
      </c>
      <c r="AM36" s="440">
        <v>0</v>
      </c>
      <c r="AN36" s="440">
        <v>0</v>
      </c>
      <c r="AO36" s="440">
        <v>0</v>
      </c>
      <c r="AP36" s="440">
        <v>0</v>
      </c>
      <c r="AQ36" s="440">
        <v>0</v>
      </c>
      <c r="AR36" s="440">
        <v>0</v>
      </c>
      <c r="AS36" s="440">
        <v>0</v>
      </c>
      <c r="AT36" s="440">
        <v>0</v>
      </c>
      <c r="AV36" s="440">
        <v>0</v>
      </c>
      <c r="AW36" s="440">
        <v>0</v>
      </c>
      <c r="AX36" s="440">
        <v>0</v>
      </c>
      <c r="AY36" s="440">
        <v>0</v>
      </c>
      <c r="AZ36" s="440">
        <v>0</v>
      </c>
      <c r="BA36" s="440">
        <v>0</v>
      </c>
      <c r="BB36" s="440">
        <v>0</v>
      </c>
      <c r="BC36" s="440">
        <v>0</v>
      </c>
      <c r="BD36" s="440">
        <v>0</v>
      </c>
      <c r="BE36" s="440">
        <v>0</v>
      </c>
      <c r="BF36" s="440">
        <v>0</v>
      </c>
      <c r="BG36" s="440">
        <v>0</v>
      </c>
      <c r="BH36" s="440">
        <v>0</v>
      </c>
      <c r="BI36" s="440">
        <v>0</v>
      </c>
      <c r="BJ36" s="440">
        <v>0</v>
      </c>
      <c r="BK36" s="440">
        <v>30</v>
      </c>
      <c r="BL36" s="440">
        <v>50</v>
      </c>
      <c r="BM36" s="440">
        <v>0</v>
      </c>
      <c r="BN36" s="440">
        <v>80</v>
      </c>
      <c r="BP36" s="442">
        <v>800000</v>
      </c>
      <c r="BQ36" s="442">
        <v>1418796.9636897566</v>
      </c>
      <c r="BR36" s="442">
        <v>0</v>
      </c>
      <c r="BS36" s="442">
        <v>0</v>
      </c>
      <c r="BT36" s="442">
        <v>2218796.9636897566</v>
      </c>
      <c r="BU36" s="442">
        <v>0</v>
      </c>
      <c r="BV36" s="442">
        <v>2218796.9636897566</v>
      </c>
    </row>
    <row r="37" spans="1:83" s="440" customFormat="1" x14ac:dyDescent="0.25">
      <c r="B37" s="440" t="s">
        <v>652</v>
      </c>
      <c r="C37" s="440">
        <v>36</v>
      </c>
      <c r="D37" s="440">
        <v>0</v>
      </c>
      <c r="E37" s="440">
        <v>36</v>
      </c>
      <c r="H37" s="440">
        <v>0</v>
      </c>
      <c r="I37" s="440">
        <v>0</v>
      </c>
      <c r="J37" s="440">
        <v>18</v>
      </c>
      <c r="K37" s="440">
        <v>0</v>
      </c>
      <c r="L37" s="440">
        <v>0</v>
      </c>
      <c r="M37" s="440">
        <v>0</v>
      </c>
      <c r="N37" s="440">
        <v>0</v>
      </c>
      <c r="O37" s="440">
        <v>0</v>
      </c>
      <c r="P37" s="440">
        <v>18</v>
      </c>
      <c r="Q37" s="440">
        <v>0</v>
      </c>
      <c r="R37" s="440">
        <v>0</v>
      </c>
      <c r="S37" s="440">
        <v>0</v>
      </c>
      <c r="T37" s="440">
        <v>0</v>
      </c>
      <c r="U37" s="440">
        <v>0</v>
      </c>
      <c r="V37" s="440">
        <v>0</v>
      </c>
      <c r="W37" s="440">
        <v>0</v>
      </c>
      <c r="X37" s="440">
        <v>0</v>
      </c>
      <c r="Y37" s="440">
        <v>0</v>
      </c>
      <c r="Z37" s="440">
        <v>36</v>
      </c>
      <c r="AB37" s="440">
        <v>0</v>
      </c>
      <c r="AC37" s="440">
        <v>0</v>
      </c>
      <c r="AD37" s="440">
        <v>0</v>
      </c>
      <c r="AE37" s="440">
        <v>0</v>
      </c>
      <c r="AF37" s="440">
        <v>0</v>
      </c>
      <c r="AG37" s="440">
        <v>0</v>
      </c>
      <c r="AH37" s="440">
        <v>0</v>
      </c>
      <c r="AI37" s="440">
        <v>0</v>
      </c>
      <c r="AJ37" s="440">
        <v>0</v>
      </c>
      <c r="AK37" s="440">
        <v>0</v>
      </c>
      <c r="AL37" s="440">
        <v>0</v>
      </c>
      <c r="AM37" s="440">
        <v>0</v>
      </c>
      <c r="AN37" s="440">
        <v>0</v>
      </c>
      <c r="AO37" s="440">
        <v>0</v>
      </c>
      <c r="AP37" s="440">
        <v>0</v>
      </c>
      <c r="AQ37" s="440">
        <v>0</v>
      </c>
      <c r="AR37" s="440">
        <v>0</v>
      </c>
      <c r="AS37" s="440">
        <v>0</v>
      </c>
      <c r="AT37" s="440">
        <v>0</v>
      </c>
      <c r="AV37" s="440">
        <v>0</v>
      </c>
      <c r="AW37" s="440">
        <v>0</v>
      </c>
      <c r="AX37" s="440">
        <v>18</v>
      </c>
      <c r="AY37" s="440">
        <v>0</v>
      </c>
      <c r="AZ37" s="440">
        <v>0</v>
      </c>
      <c r="BA37" s="440">
        <v>0</v>
      </c>
      <c r="BB37" s="440">
        <v>0</v>
      </c>
      <c r="BC37" s="440">
        <v>0</v>
      </c>
      <c r="BD37" s="440">
        <v>18</v>
      </c>
      <c r="BE37" s="440">
        <v>0</v>
      </c>
      <c r="BF37" s="440">
        <v>0</v>
      </c>
      <c r="BG37" s="440">
        <v>0</v>
      </c>
      <c r="BH37" s="440">
        <v>0</v>
      </c>
      <c r="BI37" s="440">
        <v>0</v>
      </c>
      <c r="BJ37" s="440">
        <v>0</v>
      </c>
      <c r="BK37" s="440">
        <v>0</v>
      </c>
      <c r="BL37" s="440">
        <v>0</v>
      </c>
      <c r="BM37" s="440">
        <v>0</v>
      </c>
      <c r="BN37" s="440">
        <v>36</v>
      </c>
      <c r="BP37" s="442">
        <v>330000</v>
      </c>
      <c r="BQ37" s="442">
        <v>510999.84</v>
      </c>
      <c r="BR37" s="442">
        <v>0</v>
      </c>
      <c r="BS37" s="442">
        <v>0</v>
      </c>
      <c r="BT37" s="442">
        <v>840999.84000000008</v>
      </c>
      <c r="BU37" s="442">
        <v>0</v>
      </c>
      <c r="BV37" s="442">
        <v>840999.84000000008</v>
      </c>
    </row>
    <row r="38" spans="1:83" s="440" customFormat="1" x14ac:dyDescent="0.25">
      <c r="B38" s="440" t="s">
        <v>653</v>
      </c>
      <c r="C38" s="440">
        <v>60</v>
      </c>
      <c r="D38" s="440">
        <v>0</v>
      </c>
      <c r="E38" s="440">
        <v>60</v>
      </c>
      <c r="H38" s="440">
        <v>0</v>
      </c>
      <c r="I38" s="440">
        <v>0</v>
      </c>
      <c r="J38" s="440">
        <v>0</v>
      </c>
      <c r="K38" s="440">
        <v>0</v>
      </c>
      <c r="L38" s="440">
        <v>0</v>
      </c>
      <c r="M38" s="440">
        <v>0</v>
      </c>
      <c r="N38" s="440">
        <v>0</v>
      </c>
      <c r="O38" s="440">
        <v>0</v>
      </c>
      <c r="P38" s="440">
        <v>0</v>
      </c>
      <c r="Q38" s="440">
        <v>0</v>
      </c>
      <c r="R38" s="440">
        <v>0</v>
      </c>
      <c r="S38" s="440">
        <v>0</v>
      </c>
      <c r="T38" s="440">
        <v>0</v>
      </c>
      <c r="U38" s="440">
        <v>0</v>
      </c>
      <c r="V38" s="440">
        <v>60</v>
      </c>
      <c r="W38" s="440">
        <v>0</v>
      </c>
      <c r="X38" s="440">
        <v>0</v>
      </c>
      <c r="Y38" s="440">
        <v>0</v>
      </c>
      <c r="Z38" s="440">
        <v>60</v>
      </c>
      <c r="AB38" s="440">
        <v>0</v>
      </c>
      <c r="AC38" s="440">
        <v>0</v>
      </c>
      <c r="AD38" s="440">
        <v>0</v>
      </c>
      <c r="AE38" s="440">
        <v>0</v>
      </c>
      <c r="AF38" s="440">
        <v>0</v>
      </c>
      <c r="AG38" s="440">
        <v>0</v>
      </c>
      <c r="AH38" s="440">
        <v>0</v>
      </c>
      <c r="AI38" s="440">
        <v>0</v>
      </c>
      <c r="AJ38" s="440">
        <v>0</v>
      </c>
      <c r="AK38" s="440">
        <v>0</v>
      </c>
      <c r="AL38" s="440">
        <v>0</v>
      </c>
      <c r="AM38" s="440">
        <v>0</v>
      </c>
      <c r="AN38" s="440">
        <v>0</v>
      </c>
      <c r="AO38" s="440">
        <v>0</v>
      </c>
      <c r="AP38" s="440">
        <v>0</v>
      </c>
      <c r="AQ38" s="440">
        <v>0</v>
      </c>
      <c r="AR38" s="440">
        <v>0</v>
      </c>
      <c r="AS38" s="440">
        <v>0</v>
      </c>
      <c r="AT38" s="440">
        <v>0</v>
      </c>
      <c r="AV38" s="440">
        <v>0</v>
      </c>
      <c r="AW38" s="440">
        <v>0</v>
      </c>
      <c r="AX38" s="440">
        <v>0</v>
      </c>
      <c r="AY38" s="440">
        <v>0</v>
      </c>
      <c r="AZ38" s="440">
        <v>0</v>
      </c>
      <c r="BA38" s="440">
        <v>0</v>
      </c>
      <c r="BB38" s="440">
        <v>0</v>
      </c>
      <c r="BC38" s="440">
        <v>0</v>
      </c>
      <c r="BD38" s="440">
        <v>0</v>
      </c>
      <c r="BE38" s="440">
        <v>0</v>
      </c>
      <c r="BF38" s="440">
        <v>0</v>
      </c>
      <c r="BG38" s="440">
        <v>0</v>
      </c>
      <c r="BH38" s="440">
        <v>0</v>
      </c>
      <c r="BI38" s="440">
        <v>0</v>
      </c>
      <c r="BJ38" s="440">
        <v>60</v>
      </c>
      <c r="BK38" s="440">
        <v>0</v>
      </c>
      <c r="BL38" s="440">
        <v>0</v>
      </c>
      <c r="BM38" s="440">
        <v>0</v>
      </c>
      <c r="BN38" s="440">
        <v>60</v>
      </c>
      <c r="BP38" s="442">
        <v>550000</v>
      </c>
      <c r="BQ38" s="442">
        <v>983365.2</v>
      </c>
      <c r="BR38" s="442">
        <v>0</v>
      </c>
      <c r="BS38" s="442">
        <v>0</v>
      </c>
      <c r="BT38" s="442">
        <v>1533365.2</v>
      </c>
      <c r="BU38" s="442">
        <v>0</v>
      </c>
      <c r="BV38" s="442">
        <v>1533365.2</v>
      </c>
    </row>
    <row r="39" spans="1:83" ht="15.75" thickBot="1" x14ac:dyDescent="0.3">
      <c r="C39" s="449">
        <v>671</v>
      </c>
      <c r="D39" s="449">
        <v>14</v>
      </c>
      <c r="E39" s="449">
        <v>685</v>
      </c>
      <c r="H39" s="449">
        <v>5</v>
      </c>
      <c r="I39" s="449">
        <v>0</v>
      </c>
      <c r="J39" s="449">
        <v>18</v>
      </c>
      <c r="K39" s="449">
        <v>0</v>
      </c>
      <c r="L39" s="449">
        <v>45</v>
      </c>
      <c r="M39" s="449">
        <v>1</v>
      </c>
      <c r="N39" s="449">
        <v>0</v>
      </c>
      <c r="O39" s="449">
        <v>0</v>
      </c>
      <c r="P39" s="449">
        <v>18</v>
      </c>
      <c r="Q39" s="449">
        <v>35</v>
      </c>
      <c r="R39" s="449">
        <v>64</v>
      </c>
      <c r="S39" s="449">
        <v>2</v>
      </c>
      <c r="T39" s="449">
        <v>0</v>
      </c>
      <c r="U39" s="449">
        <v>0</v>
      </c>
      <c r="V39" s="449">
        <v>142</v>
      </c>
      <c r="W39" s="449">
        <v>165</v>
      </c>
      <c r="X39" s="449">
        <v>167</v>
      </c>
      <c r="Y39" s="449">
        <v>9</v>
      </c>
      <c r="Z39" s="449">
        <v>671</v>
      </c>
      <c r="AB39" s="449">
        <v>0</v>
      </c>
      <c r="AC39" s="449">
        <v>0</v>
      </c>
      <c r="AD39" s="449">
        <v>0</v>
      </c>
      <c r="AE39" s="449">
        <v>0</v>
      </c>
      <c r="AF39" s="449">
        <v>0</v>
      </c>
      <c r="AG39" s="449">
        <v>0</v>
      </c>
      <c r="AH39" s="449">
        <v>0</v>
      </c>
      <c r="AI39" s="449">
        <v>0</v>
      </c>
      <c r="AJ39" s="449">
        <v>0</v>
      </c>
      <c r="AK39" s="449">
        <v>0</v>
      </c>
      <c r="AL39" s="449">
        <v>0</v>
      </c>
      <c r="AM39" s="449">
        <v>0</v>
      </c>
      <c r="AN39" s="449">
        <v>0</v>
      </c>
      <c r="AO39" s="449">
        <v>0</v>
      </c>
      <c r="AP39" s="449">
        <v>5</v>
      </c>
      <c r="AQ39" s="449">
        <v>6</v>
      </c>
      <c r="AR39" s="449">
        <v>3</v>
      </c>
      <c r="AS39" s="449">
        <v>0</v>
      </c>
      <c r="AT39" s="449">
        <v>14</v>
      </c>
      <c r="AV39" s="449">
        <v>5</v>
      </c>
      <c r="AW39" s="449">
        <v>0</v>
      </c>
      <c r="AX39" s="449">
        <v>18</v>
      </c>
      <c r="AY39" s="449">
        <v>0</v>
      </c>
      <c r="AZ39" s="449">
        <v>45</v>
      </c>
      <c r="BA39" s="449">
        <v>1</v>
      </c>
      <c r="BB39" s="449">
        <v>0</v>
      </c>
      <c r="BC39" s="449">
        <v>0</v>
      </c>
      <c r="BD39" s="449">
        <v>18</v>
      </c>
      <c r="BE39" s="449">
        <v>35</v>
      </c>
      <c r="BF39" s="449">
        <v>64</v>
      </c>
      <c r="BG39" s="449">
        <v>2</v>
      </c>
      <c r="BH39" s="449">
        <v>0</v>
      </c>
      <c r="BI39" s="449">
        <v>0</v>
      </c>
      <c r="BJ39" s="449">
        <v>147</v>
      </c>
      <c r="BK39" s="449">
        <v>171</v>
      </c>
      <c r="BL39" s="449">
        <v>170</v>
      </c>
      <c r="BM39" s="449">
        <v>9</v>
      </c>
      <c r="BN39" s="449">
        <v>685</v>
      </c>
      <c r="BP39" s="450">
        <v>6770000</v>
      </c>
      <c r="BQ39" s="450">
        <v>8213819.0036897566</v>
      </c>
      <c r="BR39" s="450">
        <v>376295</v>
      </c>
      <c r="BS39" s="450">
        <v>83713</v>
      </c>
      <c r="BT39" s="450">
        <v>15443827.003689755</v>
      </c>
      <c r="BU39" s="450">
        <v>117402</v>
      </c>
      <c r="BV39" s="450">
        <v>15561229.003689755</v>
      </c>
    </row>
    <row r="46" spans="1:83" x14ac:dyDescent="0.25">
      <c r="A46" s="443">
        <v>1</v>
      </c>
      <c r="B46" s="443">
        <v>2</v>
      </c>
      <c r="C46" s="443">
        <v>3</v>
      </c>
      <c r="D46" s="443">
        <v>4</v>
      </c>
      <c r="E46" s="443">
        <v>5</v>
      </c>
      <c r="F46" s="443">
        <v>6</v>
      </c>
      <c r="G46" s="443">
        <v>25</v>
      </c>
      <c r="H46" s="443">
        <v>26</v>
      </c>
      <c r="I46" s="443">
        <v>27</v>
      </c>
      <c r="J46" s="443">
        <v>28</v>
      </c>
      <c r="K46" s="443">
        <v>29</v>
      </c>
      <c r="L46" s="443">
        <v>30</v>
      </c>
      <c r="M46" s="443">
        <v>31</v>
      </c>
      <c r="N46" s="443">
        <v>32</v>
      </c>
      <c r="O46" s="443">
        <v>33</v>
      </c>
      <c r="P46" s="443">
        <v>34</v>
      </c>
      <c r="Q46" s="443">
        <v>35</v>
      </c>
      <c r="R46" s="443">
        <v>36</v>
      </c>
      <c r="S46" s="443">
        <v>37</v>
      </c>
      <c r="T46" s="443">
        <v>38</v>
      </c>
      <c r="U46" s="443">
        <v>39</v>
      </c>
      <c r="V46" s="443">
        <v>40</v>
      </c>
      <c r="W46" s="443">
        <v>41</v>
      </c>
      <c r="X46" s="443">
        <v>42</v>
      </c>
      <c r="Y46" s="443">
        <v>43</v>
      </c>
      <c r="Z46" s="443">
        <v>44</v>
      </c>
      <c r="AA46" s="443">
        <v>45</v>
      </c>
      <c r="AB46" s="443">
        <v>46</v>
      </c>
      <c r="AC46" s="443">
        <v>47</v>
      </c>
      <c r="AD46" s="443">
        <v>48</v>
      </c>
      <c r="AE46" s="443">
        <v>49</v>
      </c>
      <c r="AF46" s="443">
        <v>50</v>
      </c>
      <c r="AG46" s="443">
        <v>51</v>
      </c>
      <c r="AH46" s="443">
        <v>52</v>
      </c>
      <c r="AI46" s="443">
        <v>53</v>
      </c>
      <c r="AJ46" s="443">
        <v>54</v>
      </c>
      <c r="AK46" s="443">
        <v>55</v>
      </c>
      <c r="AL46" s="443">
        <v>56</v>
      </c>
      <c r="AM46" s="443">
        <v>57</v>
      </c>
      <c r="AN46" s="443">
        <v>58</v>
      </c>
      <c r="AO46" s="443">
        <v>59</v>
      </c>
      <c r="AP46" s="443">
        <v>60</v>
      </c>
      <c r="AQ46" s="443">
        <v>61</v>
      </c>
      <c r="AR46" s="443">
        <v>62</v>
      </c>
      <c r="AS46" s="443">
        <v>63</v>
      </c>
      <c r="AT46" s="443">
        <v>64</v>
      </c>
      <c r="AU46" s="443">
        <v>65</v>
      </c>
      <c r="AV46" s="443">
        <v>66</v>
      </c>
      <c r="AW46" s="443">
        <v>67</v>
      </c>
      <c r="AX46" s="443">
        <v>68</v>
      </c>
      <c r="AY46" s="443">
        <v>69</v>
      </c>
      <c r="AZ46" s="443">
        <v>70</v>
      </c>
      <c r="BA46" s="443">
        <v>71</v>
      </c>
      <c r="BB46" s="443">
        <v>72</v>
      </c>
      <c r="BC46" s="443">
        <v>73</v>
      </c>
      <c r="BD46" s="443">
        <v>74</v>
      </c>
      <c r="BE46" s="443">
        <v>75</v>
      </c>
      <c r="BF46" s="443">
        <v>76</v>
      </c>
      <c r="BG46" s="443">
        <v>77</v>
      </c>
      <c r="BH46" s="443">
        <v>78</v>
      </c>
      <c r="BI46" s="443">
        <v>79</v>
      </c>
      <c r="BJ46" s="443">
        <v>80</v>
      </c>
      <c r="BK46" s="443">
        <v>81</v>
      </c>
      <c r="BL46" s="443">
        <v>82</v>
      </c>
      <c r="BM46" s="443">
        <v>83</v>
      </c>
      <c r="BN46" s="443">
        <v>84</v>
      </c>
      <c r="BO46" s="443">
        <v>85</v>
      </c>
      <c r="BP46" s="443">
        <v>86</v>
      </c>
      <c r="BQ46" s="443">
        <v>87</v>
      </c>
      <c r="BR46" s="443">
        <v>88</v>
      </c>
      <c r="BS46" s="443">
        <v>89</v>
      </c>
      <c r="BT46" s="443">
        <v>90</v>
      </c>
      <c r="BU46" s="443">
        <v>91</v>
      </c>
      <c r="BV46" s="443">
        <v>92</v>
      </c>
      <c r="BW46" s="443">
        <v>93</v>
      </c>
      <c r="BX46" s="443">
        <v>94</v>
      </c>
      <c r="BY46" s="443">
        <v>95</v>
      </c>
      <c r="BZ46" s="443">
        <v>96</v>
      </c>
      <c r="CA46" s="443">
        <v>97</v>
      </c>
      <c r="CB46" s="443">
        <v>98</v>
      </c>
      <c r="CC46" s="443">
        <v>99</v>
      </c>
      <c r="CD46" s="443">
        <v>100</v>
      </c>
      <c r="CE46" s="443">
        <v>101</v>
      </c>
    </row>
  </sheetData>
  <sheetProtection password="EF5C" sheet="1" objects="1" scenarios="1"/>
  <mergeCells count="3">
    <mergeCell ref="H2:Y2"/>
    <mergeCell ref="AB2:AS2"/>
    <mergeCell ref="AV2:BM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43"/>
  <sheetViews>
    <sheetView topLeftCell="P1" workbookViewId="0">
      <selection sqref="A1:O1048576"/>
    </sheetView>
  </sheetViews>
  <sheetFormatPr defaultRowHeight="12.75" x14ac:dyDescent="0.2"/>
  <cols>
    <col min="1" max="1" width="50.42578125" style="1208" hidden="1" customWidth="1"/>
    <col min="2" max="2" width="0" style="94" hidden="1" customWidth="1"/>
    <col min="3" max="3" width="11.5703125" style="94" hidden="1" customWidth="1"/>
    <col min="4" max="5" width="0" style="94" hidden="1" customWidth="1"/>
    <col min="6" max="15" width="0" style="63" hidden="1" customWidth="1"/>
    <col min="16" max="16384" width="9.140625" style="63"/>
  </cols>
  <sheetData>
    <row r="1" spans="1:5" x14ac:dyDescent="0.2">
      <c r="A1" s="94" t="s">
        <v>516</v>
      </c>
      <c r="C1" s="94">
        <v>12345</v>
      </c>
      <c r="D1" s="1155"/>
    </row>
    <row r="2" spans="1:5" x14ac:dyDescent="0.2">
      <c r="A2" s="1156" t="s">
        <v>116</v>
      </c>
      <c r="B2" s="1156"/>
      <c r="C2" s="1156" t="s">
        <v>117</v>
      </c>
      <c r="D2" s="94">
        <v>6</v>
      </c>
      <c r="E2" s="94">
        <v>6</v>
      </c>
    </row>
    <row r="3" spans="1:5" x14ac:dyDescent="0.2">
      <c r="A3" s="79" t="s">
        <v>249</v>
      </c>
      <c r="B3" s="79" t="s">
        <v>250</v>
      </c>
      <c r="C3" s="79">
        <v>206189</v>
      </c>
      <c r="D3" s="1157" t="s">
        <v>251</v>
      </c>
      <c r="E3" s="1157">
        <v>4</v>
      </c>
    </row>
    <row r="4" spans="1:5" x14ac:dyDescent="0.2">
      <c r="A4" s="1158" t="s">
        <v>10</v>
      </c>
      <c r="B4" s="1159"/>
      <c r="C4" s="94">
        <v>2012</v>
      </c>
    </row>
    <row r="5" spans="1:5" x14ac:dyDescent="0.2">
      <c r="A5" s="1158" t="s">
        <v>73</v>
      </c>
      <c r="C5" s="94">
        <v>5414</v>
      </c>
    </row>
    <row r="6" spans="1:5" x14ac:dyDescent="0.2">
      <c r="A6" s="1158" t="s">
        <v>912</v>
      </c>
      <c r="C6" s="94">
        <v>4000</v>
      </c>
    </row>
    <row r="7" spans="1:5" x14ac:dyDescent="0.2">
      <c r="A7" s="79" t="s">
        <v>11</v>
      </c>
      <c r="B7" s="79" t="s">
        <v>202</v>
      </c>
      <c r="C7" s="79">
        <v>2443</v>
      </c>
      <c r="D7" s="1157" t="s">
        <v>206</v>
      </c>
      <c r="E7" s="1157">
        <v>1</v>
      </c>
    </row>
    <row r="8" spans="1:5" x14ac:dyDescent="0.2">
      <c r="A8" s="1158" t="s">
        <v>94</v>
      </c>
      <c r="B8" s="1159"/>
      <c r="C8" s="94">
        <v>2442</v>
      </c>
    </row>
    <row r="9" spans="1:5" x14ac:dyDescent="0.2">
      <c r="A9" s="80" t="s">
        <v>252</v>
      </c>
      <c r="B9" s="79"/>
      <c r="C9" s="80" t="s">
        <v>253</v>
      </c>
      <c r="D9" s="1157" t="s">
        <v>251</v>
      </c>
      <c r="E9" s="1157">
        <v>4</v>
      </c>
    </row>
    <row r="10" spans="1:5" x14ac:dyDescent="0.2">
      <c r="A10" s="79" t="s">
        <v>13</v>
      </c>
      <c r="B10" s="79" t="s">
        <v>204</v>
      </c>
      <c r="C10" s="79">
        <v>2629</v>
      </c>
      <c r="D10" s="1157" t="s">
        <v>206</v>
      </c>
      <c r="E10" s="1157">
        <v>1</v>
      </c>
    </row>
    <row r="11" spans="1:5" x14ac:dyDescent="0.2">
      <c r="A11" s="1158" t="s">
        <v>14</v>
      </c>
      <c r="B11" s="1159"/>
      <c r="C11" s="94">
        <v>2509</v>
      </c>
    </row>
    <row r="12" spans="1:5" x14ac:dyDescent="0.2">
      <c r="A12" s="79" t="s">
        <v>2</v>
      </c>
      <c r="B12" s="79" t="s">
        <v>205</v>
      </c>
      <c r="C12" s="79">
        <v>1014</v>
      </c>
      <c r="D12" s="1157" t="s">
        <v>203</v>
      </c>
      <c r="E12" s="1157">
        <v>2</v>
      </c>
    </row>
    <row r="13" spans="1:5" x14ac:dyDescent="0.2">
      <c r="A13" s="1158" t="s">
        <v>15</v>
      </c>
      <c r="B13" s="1159"/>
      <c r="C13" s="94">
        <v>2005</v>
      </c>
    </row>
    <row r="14" spans="1:5" x14ac:dyDescent="0.2">
      <c r="A14" s="79" t="s">
        <v>16</v>
      </c>
      <c r="B14" s="79" t="s">
        <v>207</v>
      </c>
      <c r="C14" s="79">
        <v>2464</v>
      </c>
      <c r="D14" s="1157" t="s">
        <v>206</v>
      </c>
      <c r="E14" s="1157">
        <v>1</v>
      </c>
    </row>
    <row r="15" spans="1:5" x14ac:dyDescent="0.2">
      <c r="A15" s="661" t="s">
        <v>763</v>
      </c>
      <c r="B15" s="644"/>
      <c r="C15" s="662" t="s">
        <v>765</v>
      </c>
      <c r="D15" s="63" t="s">
        <v>251</v>
      </c>
      <c r="E15" s="1157">
        <v>4</v>
      </c>
    </row>
    <row r="16" spans="1:5" x14ac:dyDescent="0.2">
      <c r="A16" s="79" t="s">
        <v>17</v>
      </c>
      <c r="B16" s="79" t="s">
        <v>208</v>
      </c>
      <c r="C16" s="79">
        <v>2004</v>
      </c>
      <c r="D16" s="1157" t="s">
        <v>206</v>
      </c>
      <c r="E16" s="1157">
        <v>1</v>
      </c>
    </row>
    <row r="17" spans="1:5" x14ac:dyDescent="0.2">
      <c r="A17" s="79" t="s">
        <v>18</v>
      </c>
      <c r="B17" s="79" t="s">
        <v>209</v>
      </c>
      <c r="C17" s="79">
        <v>2405</v>
      </c>
      <c r="D17" s="1157" t="s">
        <v>206</v>
      </c>
      <c r="E17" s="1157">
        <v>1</v>
      </c>
    </row>
    <row r="18" spans="1:5" x14ac:dyDescent="0.2">
      <c r="A18" s="79" t="s">
        <v>254</v>
      </c>
      <c r="B18" s="79" t="s">
        <v>255</v>
      </c>
      <c r="C18" s="79" t="s">
        <v>256</v>
      </c>
      <c r="D18" s="1157" t="s">
        <v>251</v>
      </c>
      <c r="E18" s="1157">
        <v>4</v>
      </c>
    </row>
    <row r="19" spans="1:5" ht="15" x14ac:dyDescent="0.25">
      <c r="A19" s="1160" t="s">
        <v>261</v>
      </c>
      <c r="B19" s="1161"/>
      <c r="C19" s="1162" t="s">
        <v>766</v>
      </c>
      <c r="D19" s="1155" t="s">
        <v>251</v>
      </c>
      <c r="E19" s="1157">
        <v>4</v>
      </c>
    </row>
    <row r="20" spans="1:5" x14ac:dyDescent="0.2">
      <c r="A20" s="1163" t="s">
        <v>257</v>
      </c>
      <c r="B20" s="1164"/>
      <c r="C20" s="1164" t="s">
        <v>258</v>
      </c>
      <c r="D20" s="1155" t="s">
        <v>251</v>
      </c>
      <c r="E20" s="1157">
        <v>4</v>
      </c>
    </row>
    <row r="21" spans="1:5" x14ac:dyDescent="0.2">
      <c r="A21" s="1160" t="s">
        <v>259</v>
      </c>
      <c r="B21" s="1161"/>
      <c r="C21" s="1165" t="s">
        <v>260</v>
      </c>
      <c r="D21" s="1155" t="s">
        <v>251</v>
      </c>
      <c r="E21" s="1157">
        <v>4</v>
      </c>
    </row>
    <row r="22" spans="1:5" x14ac:dyDescent="0.2">
      <c r="A22" s="79" t="s">
        <v>19</v>
      </c>
      <c r="B22" s="79" t="s">
        <v>210</v>
      </c>
      <c r="C22" s="79">
        <v>2011</v>
      </c>
      <c r="D22" s="1157" t="s">
        <v>206</v>
      </c>
      <c r="E22" s="1157">
        <v>1</v>
      </c>
    </row>
    <row r="23" spans="1:5" x14ac:dyDescent="0.2">
      <c r="A23" s="80" t="s">
        <v>262</v>
      </c>
      <c r="B23" s="79"/>
      <c r="C23" s="80" t="s">
        <v>263</v>
      </c>
      <c r="D23" s="1157" t="s">
        <v>251</v>
      </c>
      <c r="E23" s="1157">
        <v>4</v>
      </c>
    </row>
    <row r="24" spans="1:5" x14ac:dyDescent="0.2">
      <c r="A24" s="79" t="s">
        <v>20</v>
      </c>
      <c r="B24" s="79" t="s">
        <v>211</v>
      </c>
      <c r="C24" s="79">
        <v>5201</v>
      </c>
      <c r="D24" s="1157" t="s">
        <v>206</v>
      </c>
      <c r="E24" s="1157">
        <v>1</v>
      </c>
    </row>
    <row r="25" spans="1:5" x14ac:dyDescent="0.2">
      <c r="A25" s="79" t="s">
        <v>264</v>
      </c>
      <c r="B25" s="79" t="s">
        <v>265</v>
      </c>
      <c r="C25" s="79">
        <v>206124</v>
      </c>
      <c r="D25" s="1157" t="s">
        <v>266</v>
      </c>
      <c r="E25" s="1157">
        <v>3</v>
      </c>
    </row>
    <row r="26" spans="1:5" x14ac:dyDescent="0.2">
      <c r="A26" s="79" t="s">
        <v>21</v>
      </c>
      <c r="B26" s="79" t="s">
        <v>212</v>
      </c>
      <c r="C26" s="79">
        <v>2433</v>
      </c>
      <c r="D26" s="1157" t="s">
        <v>206</v>
      </c>
      <c r="E26" s="1157">
        <v>1</v>
      </c>
    </row>
    <row r="27" spans="1:5" x14ac:dyDescent="0.2">
      <c r="A27" s="1158" t="s">
        <v>22</v>
      </c>
      <c r="B27" s="1159"/>
      <c r="C27" s="94">
        <v>2432</v>
      </c>
    </row>
    <row r="28" spans="1:5" x14ac:dyDescent="0.2">
      <c r="A28" s="79" t="s">
        <v>267</v>
      </c>
      <c r="B28" s="79" t="s">
        <v>268</v>
      </c>
      <c r="C28" s="79" t="s">
        <v>269</v>
      </c>
      <c r="D28" s="1157" t="s">
        <v>266</v>
      </c>
      <c r="E28" s="1157">
        <v>3</v>
      </c>
    </row>
    <row r="29" spans="1:5" x14ac:dyDescent="0.2">
      <c r="A29" s="79" t="s">
        <v>199</v>
      </c>
      <c r="B29" s="79" t="s">
        <v>213</v>
      </c>
      <c r="C29" s="79">
        <v>2447</v>
      </c>
      <c r="D29" s="1157" t="s">
        <v>206</v>
      </c>
      <c r="E29" s="1157">
        <v>1</v>
      </c>
    </row>
    <row r="30" spans="1:5" x14ac:dyDescent="0.2">
      <c r="A30" s="79" t="s">
        <v>23</v>
      </c>
      <c r="B30" s="79" t="s">
        <v>214</v>
      </c>
      <c r="C30" s="79">
        <v>2512</v>
      </c>
      <c r="D30" s="1157" t="s">
        <v>206</v>
      </c>
      <c r="E30" s="1157">
        <v>1</v>
      </c>
    </row>
    <row r="31" spans="1:5" x14ac:dyDescent="0.2">
      <c r="A31" s="79" t="s">
        <v>270</v>
      </c>
      <c r="B31" s="79" t="s">
        <v>271</v>
      </c>
      <c r="C31" s="79">
        <v>206126</v>
      </c>
      <c r="D31" s="1157" t="s">
        <v>266</v>
      </c>
      <c r="E31" s="1157">
        <v>3</v>
      </c>
    </row>
    <row r="32" spans="1:5" x14ac:dyDescent="0.2">
      <c r="A32" s="79" t="s">
        <v>272</v>
      </c>
      <c r="B32" s="79" t="s">
        <v>273</v>
      </c>
      <c r="C32" s="79">
        <v>206111</v>
      </c>
      <c r="D32" s="1157" t="s">
        <v>251</v>
      </c>
      <c r="E32" s="1157">
        <v>4</v>
      </c>
    </row>
    <row r="33" spans="1:5" x14ac:dyDescent="0.2">
      <c r="A33" s="79" t="s">
        <v>274</v>
      </c>
      <c r="B33" s="79" t="s">
        <v>275</v>
      </c>
      <c r="C33" s="79">
        <v>206091</v>
      </c>
      <c r="D33" s="1157" t="s">
        <v>251</v>
      </c>
      <c r="E33" s="1157">
        <v>4</v>
      </c>
    </row>
    <row r="34" spans="1:5" x14ac:dyDescent="0.2">
      <c r="A34" s="79" t="s">
        <v>24</v>
      </c>
      <c r="B34" s="79" t="s">
        <v>215</v>
      </c>
      <c r="C34" s="79">
        <v>2456</v>
      </c>
      <c r="D34" s="1157" t="s">
        <v>206</v>
      </c>
      <c r="E34" s="1157">
        <v>1</v>
      </c>
    </row>
    <row r="35" spans="1:5" x14ac:dyDescent="0.2">
      <c r="A35" s="79" t="s">
        <v>3</v>
      </c>
      <c r="B35" s="79" t="s">
        <v>216</v>
      </c>
      <c r="C35" s="79">
        <v>1017</v>
      </c>
      <c r="D35" s="1157" t="s">
        <v>203</v>
      </c>
      <c r="E35" s="1157">
        <v>2</v>
      </c>
    </row>
    <row r="36" spans="1:5" x14ac:dyDescent="0.2">
      <c r="A36" s="79" t="s">
        <v>25</v>
      </c>
      <c r="B36" s="79" t="s">
        <v>217</v>
      </c>
      <c r="C36" s="79">
        <v>2449</v>
      </c>
      <c r="D36" s="1157" t="s">
        <v>206</v>
      </c>
      <c r="E36" s="1157">
        <v>1</v>
      </c>
    </row>
    <row r="37" spans="1:5" x14ac:dyDescent="0.2">
      <c r="A37" s="1158" t="s">
        <v>26</v>
      </c>
      <c r="B37" s="1159" t="s">
        <v>596</v>
      </c>
      <c r="C37" s="79">
        <v>2448</v>
      </c>
      <c r="D37" s="1157"/>
      <c r="E37" s="1157"/>
    </row>
    <row r="38" spans="1:5" x14ac:dyDescent="0.2">
      <c r="A38" s="79" t="s">
        <v>4</v>
      </c>
      <c r="B38" s="79" t="s">
        <v>218</v>
      </c>
      <c r="C38" s="79">
        <v>1006</v>
      </c>
      <c r="D38" s="1157" t="s">
        <v>203</v>
      </c>
      <c r="E38" s="1157">
        <v>2</v>
      </c>
    </row>
    <row r="39" spans="1:5" x14ac:dyDescent="0.2">
      <c r="A39" s="79" t="s">
        <v>27</v>
      </c>
      <c r="B39" s="79" t="s">
        <v>219</v>
      </c>
      <c r="C39" s="79">
        <v>2467</v>
      </c>
      <c r="D39" s="1157" t="s">
        <v>206</v>
      </c>
      <c r="E39" s="1157">
        <v>1</v>
      </c>
    </row>
    <row r="40" spans="1:5" x14ac:dyDescent="0.2">
      <c r="A40" s="1158" t="s">
        <v>75</v>
      </c>
      <c r="C40" s="94">
        <v>5402</v>
      </c>
    </row>
    <row r="41" spans="1:5" x14ac:dyDescent="0.2">
      <c r="A41" s="1158" t="s">
        <v>28</v>
      </c>
      <c r="B41" s="1159"/>
      <c r="C41" s="94">
        <v>2455</v>
      </c>
    </row>
    <row r="42" spans="1:5" x14ac:dyDescent="0.2">
      <c r="A42" s="1158" t="s">
        <v>29</v>
      </c>
      <c r="B42" s="1159"/>
      <c r="C42" s="94">
        <v>5203</v>
      </c>
    </row>
    <row r="43" spans="1:5" x14ac:dyDescent="0.2">
      <c r="A43" s="107" t="s">
        <v>30</v>
      </c>
      <c r="B43" s="79" t="s">
        <v>220</v>
      </c>
      <c r="C43" s="79">
        <v>2451</v>
      </c>
      <c r="D43" s="1157" t="s">
        <v>206</v>
      </c>
      <c r="E43" s="1157">
        <v>1</v>
      </c>
    </row>
    <row r="44" spans="1:5" x14ac:dyDescent="0.2">
      <c r="A44" s="80" t="s">
        <v>276</v>
      </c>
      <c r="B44" s="79"/>
      <c r="C44" s="80" t="s">
        <v>277</v>
      </c>
      <c r="D44" s="1157" t="s">
        <v>251</v>
      </c>
      <c r="E44" s="1157">
        <v>4</v>
      </c>
    </row>
    <row r="45" spans="1:5" x14ac:dyDescent="0.2">
      <c r="A45" s="79" t="s">
        <v>278</v>
      </c>
      <c r="B45" s="79" t="s">
        <v>279</v>
      </c>
      <c r="C45" s="79">
        <v>206128</v>
      </c>
      <c r="D45" s="1166" t="s">
        <v>266</v>
      </c>
      <c r="E45" s="1157">
        <v>3</v>
      </c>
    </row>
    <row r="46" spans="1:5" x14ac:dyDescent="0.2">
      <c r="A46" s="1158" t="s">
        <v>452</v>
      </c>
      <c r="C46" s="94">
        <v>4002</v>
      </c>
    </row>
    <row r="47" spans="1:5" x14ac:dyDescent="0.2">
      <c r="A47" s="456" t="s">
        <v>455</v>
      </c>
      <c r="B47" s="79" t="s">
        <v>239</v>
      </c>
      <c r="C47" s="79">
        <v>2430</v>
      </c>
      <c r="D47" s="1166" t="s">
        <v>206</v>
      </c>
      <c r="E47" s="1157">
        <v>1</v>
      </c>
    </row>
    <row r="48" spans="1:5" x14ac:dyDescent="0.2">
      <c r="A48" s="1167" t="s">
        <v>768</v>
      </c>
      <c r="B48" s="1168"/>
      <c r="C48" s="1169" t="s">
        <v>769</v>
      </c>
      <c r="D48" s="1155" t="s">
        <v>266</v>
      </c>
      <c r="E48" s="94">
        <v>3</v>
      </c>
    </row>
    <row r="49" spans="1:5" x14ac:dyDescent="0.2">
      <c r="A49" s="1158" t="s">
        <v>68</v>
      </c>
      <c r="C49" s="94">
        <v>4608</v>
      </c>
    </row>
    <row r="50" spans="1:5" x14ac:dyDescent="0.2">
      <c r="A50" s="1158" t="s">
        <v>31</v>
      </c>
      <c r="B50" s="1159"/>
      <c r="C50" s="94">
        <v>2409</v>
      </c>
    </row>
    <row r="51" spans="1:5" x14ac:dyDescent="0.2">
      <c r="A51" s="1170" t="s">
        <v>281</v>
      </c>
      <c r="B51" s="1168"/>
      <c r="C51" s="1168" t="s">
        <v>282</v>
      </c>
      <c r="D51" s="1155" t="s">
        <v>251</v>
      </c>
      <c r="E51" s="1157">
        <v>4</v>
      </c>
    </row>
    <row r="52" spans="1:5" x14ac:dyDescent="0.2">
      <c r="A52" s="1171" t="s">
        <v>1401</v>
      </c>
      <c r="B52" s="1172"/>
      <c r="C52" s="1173" t="s">
        <v>771</v>
      </c>
      <c r="D52" s="94" t="s">
        <v>266</v>
      </c>
      <c r="E52" s="1157">
        <v>3</v>
      </c>
    </row>
    <row r="53" spans="1:5" x14ac:dyDescent="0.2">
      <c r="A53" s="1174" t="s">
        <v>539</v>
      </c>
      <c r="B53" s="96"/>
      <c r="C53" s="96">
        <v>205921</v>
      </c>
      <c r="D53" s="1157" t="s">
        <v>266</v>
      </c>
      <c r="E53" s="1157">
        <v>3</v>
      </c>
    </row>
    <row r="54" spans="1:5" x14ac:dyDescent="0.2">
      <c r="A54" s="1171" t="s">
        <v>1372</v>
      </c>
      <c r="B54" s="689" t="s">
        <v>775</v>
      </c>
      <c r="C54" s="1154" t="s">
        <v>776</v>
      </c>
      <c r="D54" s="94" t="s">
        <v>266</v>
      </c>
      <c r="E54" s="1157">
        <v>3</v>
      </c>
    </row>
    <row r="55" spans="1:5" x14ac:dyDescent="0.2">
      <c r="A55" s="1174" t="s">
        <v>538</v>
      </c>
      <c r="B55" s="96"/>
      <c r="C55" s="96">
        <v>205999</v>
      </c>
      <c r="D55" s="1157" t="s">
        <v>266</v>
      </c>
      <c r="E55" s="1157">
        <v>3</v>
      </c>
    </row>
    <row r="56" spans="1:5" x14ac:dyDescent="0.2">
      <c r="A56" s="96" t="s">
        <v>537</v>
      </c>
      <c r="B56" s="95"/>
      <c r="C56" s="95" t="s">
        <v>283</v>
      </c>
      <c r="D56" s="1166" t="s">
        <v>266</v>
      </c>
      <c r="E56" s="1157">
        <v>3</v>
      </c>
    </row>
    <row r="57" spans="1:5" x14ac:dyDescent="0.2">
      <c r="A57" s="1171" t="s">
        <v>1373</v>
      </c>
      <c r="B57" s="689" t="s">
        <v>779</v>
      </c>
      <c r="C57" s="1153">
        <v>206065</v>
      </c>
      <c r="D57" s="94" t="s">
        <v>266</v>
      </c>
      <c r="E57" s="1157">
        <v>3</v>
      </c>
    </row>
    <row r="58" spans="1:5" x14ac:dyDescent="0.2">
      <c r="A58" s="1175" t="s">
        <v>1375</v>
      </c>
      <c r="B58" s="1175"/>
      <c r="C58" s="1154" t="s">
        <v>787</v>
      </c>
      <c r="D58" s="94" t="s">
        <v>266</v>
      </c>
      <c r="E58" s="1157">
        <v>3</v>
      </c>
    </row>
    <row r="59" spans="1:5" x14ac:dyDescent="0.2">
      <c r="A59" s="456" t="s">
        <v>589</v>
      </c>
      <c r="B59" s="1176"/>
      <c r="C59" s="1176" t="s">
        <v>288</v>
      </c>
      <c r="D59" s="1155" t="s">
        <v>266</v>
      </c>
      <c r="E59" s="94">
        <v>3</v>
      </c>
    </row>
    <row r="60" spans="1:5" x14ac:dyDescent="0.2">
      <c r="A60" s="456" t="s">
        <v>587</v>
      </c>
      <c r="B60" s="1176"/>
      <c r="C60" s="1154" t="s">
        <v>784</v>
      </c>
      <c r="D60" s="1155" t="s">
        <v>266</v>
      </c>
      <c r="E60" s="94">
        <v>3</v>
      </c>
    </row>
    <row r="61" spans="1:5" x14ac:dyDescent="0.2">
      <c r="A61" s="1171" t="s">
        <v>1374</v>
      </c>
      <c r="B61" s="689"/>
      <c r="C61" s="1154" t="s">
        <v>781</v>
      </c>
      <c r="D61" s="1155" t="s">
        <v>266</v>
      </c>
      <c r="E61" s="94">
        <v>3</v>
      </c>
    </row>
    <row r="62" spans="1:5" x14ac:dyDescent="0.2">
      <c r="A62" s="1171" t="s">
        <v>1376</v>
      </c>
      <c r="B62" s="1178"/>
      <c r="C62" s="1178">
        <v>205919</v>
      </c>
      <c r="D62" s="94" t="s">
        <v>266</v>
      </c>
      <c r="E62" s="94">
        <v>3</v>
      </c>
    </row>
    <row r="63" spans="1:5" x14ac:dyDescent="0.2">
      <c r="A63" s="96" t="s">
        <v>541</v>
      </c>
      <c r="B63" s="95"/>
      <c r="C63" s="95" t="s">
        <v>287</v>
      </c>
      <c r="D63" s="1157" t="s">
        <v>266</v>
      </c>
      <c r="E63" s="1157">
        <v>3</v>
      </c>
    </row>
    <row r="64" spans="1:5" x14ac:dyDescent="0.2">
      <c r="A64" s="1171" t="s">
        <v>1377</v>
      </c>
      <c r="B64" s="1175"/>
      <c r="C64" s="1179" t="s">
        <v>791</v>
      </c>
      <c r="D64" s="94" t="s">
        <v>266</v>
      </c>
      <c r="E64" s="1157">
        <v>3</v>
      </c>
    </row>
    <row r="65" spans="1:5" x14ac:dyDescent="0.2">
      <c r="A65" s="1171" t="s">
        <v>1378</v>
      </c>
      <c r="B65" s="1175"/>
      <c r="C65" s="1169" t="s">
        <v>793</v>
      </c>
      <c r="D65" s="94" t="s">
        <v>266</v>
      </c>
      <c r="E65" s="1157">
        <v>3</v>
      </c>
    </row>
    <row r="66" spans="1:5" x14ac:dyDescent="0.2">
      <c r="A66" s="1180" t="s">
        <v>1380</v>
      </c>
      <c r="B66" s="1175"/>
      <c r="C66" s="1154" t="s">
        <v>796</v>
      </c>
      <c r="D66" s="94" t="s">
        <v>266</v>
      </c>
      <c r="E66" s="1157">
        <v>3</v>
      </c>
    </row>
    <row r="67" spans="1:5" x14ac:dyDescent="0.2">
      <c r="A67" s="1181" t="s">
        <v>1379</v>
      </c>
      <c r="B67" s="95"/>
      <c r="C67" s="697">
        <v>205849</v>
      </c>
      <c r="D67" s="1157" t="s">
        <v>266</v>
      </c>
      <c r="E67" s="1157">
        <v>3</v>
      </c>
    </row>
    <row r="68" spans="1:5" x14ac:dyDescent="0.2">
      <c r="A68" s="456" t="s">
        <v>594</v>
      </c>
      <c r="B68" s="1176"/>
      <c r="C68" s="1176" t="s">
        <v>284</v>
      </c>
      <c r="D68" s="1155" t="s">
        <v>266</v>
      </c>
      <c r="E68" s="94">
        <v>3</v>
      </c>
    </row>
    <row r="69" spans="1:5" x14ac:dyDescent="0.2">
      <c r="A69" s="1182" t="s">
        <v>1381</v>
      </c>
      <c r="B69" s="1175"/>
      <c r="C69" s="1154" t="s">
        <v>798</v>
      </c>
      <c r="D69" s="94" t="s">
        <v>266</v>
      </c>
      <c r="E69" s="94">
        <v>3</v>
      </c>
    </row>
    <row r="70" spans="1:5" x14ac:dyDescent="0.2">
      <c r="A70" s="1183" t="s">
        <v>1385</v>
      </c>
      <c r="B70" s="1184"/>
      <c r="C70" s="1184">
        <v>205922</v>
      </c>
      <c r="D70" s="94" t="s">
        <v>266</v>
      </c>
      <c r="E70" s="94">
        <v>3</v>
      </c>
    </row>
    <row r="71" spans="1:5" x14ac:dyDescent="0.2">
      <c r="A71" s="1185" t="s">
        <v>1384</v>
      </c>
      <c r="B71" s="1175"/>
      <c r="C71" s="1179">
        <v>205881</v>
      </c>
      <c r="D71" s="94" t="s">
        <v>266</v>
      </c>
      <c r="E71" s="94">
        <v>3</v>
      </c>
    </row>
    <row r="72" spans="1:5" x14ac:dyDescent="0.2">
      <c r="A72" s="1186" t="s">
        <v>1382</v>
      </c>
      <c r="B72" s="1187"/>
      <c r="C72" s="1187" t="s">
        <v>801</v>
      </c>
      <c r="D72" s="94" t="s">
        <v>266</v>
      </c>
      <c r="E72" s="94">
        <v>3</v>
      </c>
    </row>
    <row r="73" spans="1:5" x14ac:dyDescent="0.2">
      <c r="A73" s="1174" t="s">
        <v>542</v>
      </c>
      <c r="B73" s="96"/>
      <c r="C73" s="96" t="s">
        <v>289</v>
      </c>
      <c r="D73" s="1157" t="s">
        <v>266</v>
      </c>
      <c r="E73" s="1157">
        <v>3</v>
      </c>
    </row>
    <row r="74" spans="1:5" x14ac:dyDescent="0.2">
      <c r="A74" s="1171" t="s">
        <v>1383</v>
      </c>
      <c r="B74" s="1175"/>
      <c r="C74" s="1179" t="s">
        <v>806</v>
      </c>
      <c r="D74" s="1188" t="s">
        <v>266</v>
      </c>
      <c r="E74" s="1157">
        <v>3</v>
      </c>
    </row>
    <row r="75" spans="1:5" x14ac:dyDescent="0.2">
      <c r="A75" s="1185" t="s">
        <v>807</v>
      </c>
      <c r="B75" s="1175"/>
      <c r="C75" s="1179" t="s">
        <v>808</v>
      </c>
      <c r="D75" s="1163" t="s">
        <v>266</v>
      </c>
      <c r="E75" s="1157">
        <v>3</v>
      </c>
    </row>
    <row r="76" spans="1:5" x14ac:dyDescent="0.2">
      <c r="A76" s="1185" t="s">
        <v>1386</v>
      </c>
      <c r="B76" s="1175"/>
      <c r="C76" s="1189" t="s">
        <v>811</v>
      </c>
      <c r="D76" s="1160" t="s">
        <v>266</v>
      </c>
      <c r="E76" s="1157">
        <v>3</v>
      </c>
    </row>
    <row r="77" spans="1:5" x14ac:dyDescent="0.2">
      <c r="A77" s="1181" t="s">
        <v>543</v>
      </c>
      <c r="B77" s="96"/>
      <c r="C77" s="96">
        <v>2</v>
      </c>
      <c r="D77" s="1157" t="s">
        <v>266</v>
      </c>
      <c r="E77" s="1157">
        <v>3</v>
      </c>
    </row>
    <row r="78" spans="1:5" x14ac:dyDescent="0.2">
      <c r="A78" s="1192" t="s">
        <v>1387</v>
      </c>
      <c r="B78" s="1184"/>
      <c r="C78" s="1150" t="s">
        <v>668</v>
      </c>
      <c r="D78" s="1173" t="s">
        <v>266</v>
      </c>
      <c r="E78" s="1157">
        <v>3</v>
      </c>
    </row>
    <row r="79" spans="1:5" x14ac:dyDescent="0.2">
      <c r="A79" s="693" t="s">
        <v>1388</v>
      </c>
      <c r="B79" s="489"/>
      <c r="C79" s="1179" t="s">
        <v>686</v>
      </c>
      <c r="D79" s="53" t="s">
        <v>266</v>
      </c>
      <c r="E79" s="1157">
        <v>3</v>
      </c>
    </row>
    <row r="80" spans="1:5" x14ac:dyDescent="0.2">
      <c r="A80" s="96" t="s">
        <v>544</v>
      </c>
      <c r="B80" s="95"/>
      <c r="C80" s="1184">
        <v>205956</v>
      </c>
      <c r="D80" s="1157" t="s">
        <v>266</v>
      </c>
      <c r="E80" s="1157">
        <v>3</v>
      </c>
    </row>
    <row r="81" spans="1:5" x14ac:dyDescent="0.2">
      <c r="A81" s="702" t="s">
        <v>1389</v>
      </c>
      <c r="B81" s="686"/>
      <c r="C81" s="1169">
        <v>260849</v>
      </c>
      <c r="D81" s="53" t="s">
        <v>266</v>
      </c>
      <c r="E81" s="1157">
        <v>3</v>
      </c>
    </row>
    <row r="82" spans="1:5" x14ac:dyDescent="0.2">
      <c r="A82" s="693" t="s">
        <v>1390</v>
      </c>
      <c r="B82" s="688"/>
      <c r="C82" s="1169" t="s">
        <v>818</v>
      </c>
      <c r="D82" s="53" t="s">
        <v>266</v>
      </c>
      <c r="E82" s="1157">
        <v>3</v>
      </c>
    </row>
    <row r="83" spans="1:5" x14ac:dyDescent="0.2">
      <c r="A83" s="1193" t="s">
        <v>1391</v>
      </c>
      <c r="B83" s="95"/>
      <c r="C83" s="1165" t="s">
        <v>291</v>
      </c>
      <c r="D83" s="1155" t="s">
        <v>266</v>
      </c>
      <c r="E83" s="94">
        <v>3</v>
      </c>
    </row>
    <row r="84" spans="1:5" x14ac:dyDescent="0.2">
      <c r="A84" s="1145" t="s">
        <v>1392</v>
      </c>
      <c r="B84" s="489"/>
      <c r="C84" s="1154" t="s">
        <v>821</v>
      </c>
      <c r="D84" s="53" t="s">
        <v>266</v>
      </c>
      <c r="E84" s="94">
        <v>3</v>
      </c>
    </row>
    <row r="85" spans="1:5" x14ac:dyDescent="0.2">
      <c r="A85" s="1142" t="s">
        <v>1394</v>
      </c>
      <c r="B85" s="686"/>
      <c r="C85" s="690" t="s">
        <v>825</v>
      </c>
      <c r="D85" s="1155" t="s">
        <v>266</v>
      </c>
      <c r="E85" s="94">
        <v>3</v>
      </c>
    </row>
    <row r="86" spans="1:5" x14ac:dyDescent="0.2">
      <c r="A86" s="1142" t="s">
        <v>1393</v>
      </c>
      <c r="B86" s="644"/>
      <c r="C86" s="1189" t="s">
        <v>823</v>
      </c>
      <c r="D86" s="53" t="s">
        <v>266</v>
      </c>
      <c r="E86" s="94">
        <v>3</v>
      </c>
    </row>
    <row r="87" spans="1:5" x14ac:dyDescent="0.2">
      <c r="A87" s="583" t="s">
        <v>1396</v>
      </c>
      <c r="B87" s="489"/>
      <c r="C87" s="690" t="s">
        <v>830</v>
      </c>
      <c r="D87" s="138" t="s">
        <v>266</v>
      </c>
      <c r="E87" s="94">
        <v>3</v>
      </c>
    </row>
    <row r="88" spans="1:5" x14ac:dyDescent="0.2">
      <c r="A88" s="1143" t="s">
        <v>1395</v>
      </c>
      <c r="B88" s="489"/>
      <c r="C88" s="1154" t="s">
        <v>827</v>
      </c>
      <c r="D88" s="104" t="s">
        <v>266</v>
      </c>
      <c r="E88" s="94">
        <v>3</v>
      </c>
    </row>
    <row r="89" spans="1:5" x14ac:dyDescent="0.2">
      <c r="A89" s="1181" t="s">
        <v>591</v>
      </c>
      <c r="B89" s="95"/>
      <c r="C89" s="95" t="s">
        <v>293</v>
      </c>
      <c r="D89" s="1155" t="s">
        <v>266</v>
      </c>
      <c r="E89" s="94">
        <v>3</v>
      </c>
    </row>
    <row r="90" spans="1:5" x14ac:dyDescent="0.2">
      <c r="A90" s="1142" t="s">
        <v>1402</v>
      </c>
      <c r="B90" s="686"/>
      <c r="C90" s="662" t="s">
        <v>833</v>
      </c>
      <c r="D90" s="81" t="s">
        <v>266</v>
      </c>
      <c r="E90" s="94">
        <v>3</v>
      </c>
    </row>
    <row r="91" spans="1:5" x14ac:dyDescent="0.2">
      <c r="A91" s="1142" t="s">
        <v>1403</v>
      </c>
      <c r="B91" s="686"/>
      <c r="C91" s="690" t="s">
        <v>835</v>
      </c>
      <c r="D91" s="138" t="s">
        <v>266</v>
      </c>
      <c r="E91" s="94">
        <v>3</v>
      </c>
    </row>
    <row r="92" spans="1:5" x14ac:dyDescent="0.2">
      <c r="A92" s="1174" t="s">
        <v>547</v>
      </c>
      <c r="B92" s="95"/>
      <c r="C92" s="95" t="s">
        <v>295</v>
      </c>
      <c r="D92" s="1157" t="s">
        <v>266</v>
      </c>
      <c r="E92" s="1157">
        <v>3</v>
      </c>
    </row>
    <row r="93" spans="1:5" x14ac:dyDescent="0.2">
      <c r="A93" s="1148" t="s">
        <v>1397</v>
      </c>
      <c r="B93" s="704"/>
      <c r="C93" s="690">
        <v>206031</v>
      </c>
      <c r="D93" s="135" t="s">
        <v>266</v>
      </c>
      <c r="E93" s="1157">
        <v>3</v>
      </c>
    </row>
    <row r="94" spans="1:5" x14ac:dyDescent="0.2">
      <c r="A94" s="1174" t="s">
        <v>546</v>
      </c>
      <c r="B94" s="95"/>
      <c r="C94" s="95" t="s">
        <v>296</v>
      </c>
      <c r="D94" s="1157" t="s">
        <v>266</v>
      </c>
      <c r="E94" s="1157">
        <v>3</v>
      </c>
    </row>
    <row r="95" spans="1:5" x14ac:dyDescent="0.2">
      <c r="A95" s="96" t="s">
        <v>545</v>
      </c>
      <c r="B95" s="95"/>
      <c r="C95" s="95" t="s">
        <v>294</v>
      </c>
      <c r="D95" s="1157" t="s">
        <v>266</v>
      </c>
      <c r="E95" s="1157">
        <v>3</v>
      </c>
    </row>
    <row r="96" spans="1:5" x14ac:dyDescent="0.2">
      <c r="A96" s="1143" t="s">
        <v>1398</v>
      </c>
      <c r="B96" s="705"/>
      <c r="C96" s="690" t="s">
        <v>840</v>
      </c>
      <c r="D96" s="102" t="s">
        <v>266</v>
      </c>
      <c r="E96" s="1157">
        <v>3</v>
      </c>
    </row>
    <row r="97" spans="1:10" x14ac:dyDescent="0.2">
      <c r="A97" s="96" t="s">
        <v>1371</v>
      </c>
      <c r="B97" s="95"/>
      <c r="C97" s="95" t="s">
        <v>298</v>
      </c>
      <c r="D97" s="1157" t="s">
        <v>266</v>
      </c>
      <c r="E97" s="1157">
        <v>3</v>
      </c>
    </row>
    <row r="98" spans="1:10" x14ac:dyDescent="0.2">
      <c r="A98" s="1143" t="s">
        <v>1407</v>
      </c>
      <c r="B98" s="489"/>
      <c r="C98" s="584" t="s">
        <v>844</v>
      </c>
      <c r="D98" s="63" t="s">
        <v>266</v>
      </c>
      <c r="E98" s="1157">
        <v>3</v>
      </c>
    </row>
    <row r="99" spans="1:10" x14ac:dyDescent="0.2">
      <c r="A99" s="1181" t="s">
        <v>592</v>
      </c>
      <c r="B99" s="95"/>
      <c r="C99" s="688">
        <v>206043</v>
      </c>
      <c r="D99" s="1155" t="s">
        <v>266</v>
      </c>
      <c r="E99" s="94">
        <v>3</v>
      </c>
    </row>
    <row r="100" spans="1:10" x14ac:dyDescent="0.2">
      <c r="A100" s="1177" t="s">
        <v>548</v>
      </c>
      <c r="B100" s="95"/>
      <c r="C100" s="95" t="s">
        <v>299</v>
      </c>
      <c r="D100" s="1157" t="s">
        <v>266</v>
      </c>
      <c r="E100" s="1157">
        <v>3</v>
      </c>
    </row>
    <row r="101" spans="1:10" x14ac:dyDescent="0.2">
      <c r="A101" s="1194" t="s">
        <v>590</v>
      </c>
      <c r="B101" s="1195"/>
      <c r="C101" s="1195" t="s">
        <v>292</v>
      </c>
      <c r="D101" s="1155" t="s">
        <v>266</v>
      </c>
      <c r="E101" s="94">
        <v>3</v>
      </c>
    </row>
    <row r="102" spans="1:10" x14ac:dyDescent="0.2">
      <c r="A102" s="1196" t="s">
        <v>593</v>
      </c>
      <c r="B102" s="1197"/>
      <c r="C102" s="1197" t="s">
        <v>297</v>
      </c>
      <c r="D102" s="1155" t="s">
        <v>266</v>
      </c>
      <c r="E102" s="94">
        <v>3</v>
      </c>
    </row>
    <row r="103" spans="1:10" x14ac:dyDescent="0.2">
      <c r="A103" s="1143" t="s">
        <v>1406</v>
      </c>
      <c r="B103" s="489"/>
      <c r="C103" s="690">
        <v>206067</v>
      </c>
      <c r="D103" s="63" t="s">
        <v>266</v>
      </c>
      <c r="E103" s="94">
        <v>3</v>
      </c>
    </row>
    <row r="104" spans="1:10" ht="15" x14ac:dyDescent="0.2">
      <c r="A104" s="1177" t="s">
        <v>549</v>
      </c>
      <c r="B104" s="97"/>
      <c r="C104" s="97" t="s">
        <v>300</v>
      </c>
      <c r="D104" s="1157" t="s">
        <v>266</v>
      </c>
      <c r="E104" s="1157">
        <v>3</v>
      </c>
      <c r="I104" s="489"/>
      <c r="J104" s="584"/>
    </row>
    <row r="105" spans="1:10" x14ac:dyDescent="0.2">
      <c r="A105" s="1190" t="s">
        <v>1400</v>
      </c>
      <c r="B105" s="1191"/>
      <c r="C105" s="1191" t="s">
        <v>290</v>
      </c>
      <c r="D105" s="1155" t="s">
        <v>266</v>
      </c>
      <c r="E105" s="94">
        <v>3</v>
      </c>
      <c r="I105" s="489"/>
      <c r="J105" s="584"/>
    </row>
    <row r="106" spans="1:10" x14ac:dyDescent="0.2">
      <c r="A106" s="1198" t="s">
        <v>550</v>
      </c>
      <c r="B106" s="98"/>
      <c r="C106" s="98" t="s">
        <v>301</v>
      </c>
      <c r="D106" s="1157" t="s">
        <v>266</v>
      </c>
      <c r="E106" s="1157">
        <v>3</v>
      </c>
    </row>
    <row r="107" spans="1:10" x14ac:dyDescent="0.2">
      <c r="A107" s="1147" t="s">
        <v>1404</v>
      </c>
      <c r="B107" s="489"/>
      <c r="C107" s="712" t="s">
        <v>854</v>
      </c>
      <c r="D107" s="63" t="s">
        <v>266</v>
      </c>
      <c r="E107" s="1157">
        <v>3</v>
      </c>
    </row>
    <row r="108" spans="1:10" x14ac:dyDescent="0.2">
      <c r="A108" s="456" t="s">
        <v>595</v>
      </c>
      <c r="B108" s="1176"/>
      <c r="C108" s="1176" t="s">
        <v>285</v>
      </c>
      <c r="D108" s="1155" t="s">
        <v>266</v>
      </c>
      <c r="E108" s="94">
        <v>3</v>
      </c>
    </row>
    <row r="109" spans="1:10" x14ac:dyDescent="0.2">
      <c r="A109" s="1147" t="s">
        <v>1405</v>
      </c>
      <c r="B109" s="489"/>
      <c r="C109" s="712" t="s">
        <v>856</v>
      </c>
      <c r="D109" s="63" t="s">
        <v>266</v>
      </c>
      <c r="E109" s="94">
        <v>3</v>
      </c>
    </row>
    <row r="110" spans="1:10" x14ac:dyDescent="0.2">
      <c r="A110" s="87" t="s">
        <v>302</v>
      </c>
      <c r="B110" s="79"/>
      <c r="C110" s="88" t="s">
        <v>303</v>
      </c>
      <c r="D110" s="1157" t="s">
        <v>266</v>
      </c>
      <c r="E110" s="1157">
        <v>3</v>
      </c>
    </row>
    <row r="111" spans="1:10" x14ac:dyDescent="0.2">
      <c r="A111" s="79" t="s">
        <v>304</v>
      </c>
      <c r="B111" s="79" t="s">
        <v>305</v>
      </c>
      <c r="C111" s="79" t="s">
        <v>306</v>
      </c>
      <c r="D111" s="1157" t="s">
        <v>266</v>
      </c>
      <c r="E111" s="1157">
        <v>3</v>
      </c>
    </row>
    <row r="112" spans="1:10" x14ac:dyDescent="0.2">
      <c r="A112" s="1144" t="s">
        <v>858</v>
      </c>
      <c r="B112" s="665"/>
      <c r="C112" s="667" t="s">
        <v>859</v>
      </c>
      <c r="D112" s="63" t="s">
        <v>266</v>
      </c>
      <c r="E112" s="1157">
        <v>3</v>
      </c>
    </row>
    <row r="113" spans="1:5" x14ac:dyDescent="0.2">
      <c r="A113" s="1158" t="s">
        <v>111</v>
      </c>
      <c r="C113" s="94">
        <v>4178</v>
      </c>
    </row>
    <row r="114" spans="1:5" x14ac:dyDescent="0.2">
      <c r="A114" s="1158" t="s">
        <v>98</v>
      </c>
      <c r="B114" s="79" t="s">
        <v>241</v>
      </c>
      <c r="C114" s="94">
        <v>3158</v>
      </c>
      <c r="D114" s="1155" t="s">
        <v>206</v>
      </c>
      <c r="E114" s="94">
        <v>1</v>
      </c>
    </row>
    <row r="115" spans="1:5" x14ac:dyDescent="0.2">
      <c r="A115" s="79" t="s">
        <v>32</v>
      </c>
      <c r="B115" s="79" t="s">
        <v>221</v>
      </c>
      <c r="C115" s="79">
        <v>2619</v>
      </c>
      <c r="D115" s="1157" t="s">
        <v>206</v>
      </c>
      <c r="E115" s="1157">
        <v>1</v>
      </c>
    </row>
    <row r="116" spans="1:5" x14ac:dyDescent="0.2">
      <c r="A116" s="1141" t="s">
        <v>860</v>
      </c>
      <c r="B116" s="644"/>
      <c r="C116" s="690" t="s">
        <v>861</v>
      </c>
      <c r="D116" s="63" t="s">
        <v>251</v>
      </c>
      <c r="E116" s="1157">
        <v>4</v>
      </c>
    </row>
    <row r="117" spans="1:5" x14ac:dyDescent="0.2">
      <c r="A117" s="79" t="s">
        <v>307</v>
      </c>
      <c r="B117" s="79"/>
      <c r="C117" s="80" t="s">
        <v>308</v>
      </c>
      <c r="D117" s="1157" t="s">
        <v>266</v>
      </c>
      <c r="E117" s="1157">
        <v>3</v>
      </c>
    </row>
    <row r="118" spans="1:5" x14ac:dyDescent="0.2">
      <c r="A118" s="79" t="s">
        <v>309</v>
      </c>
      <c r="B118" s="79" t="s">
        <v>310</v>
      </c>
      <c r="C118" s="79">
        <v>258417</v>
      </c>
      <c r="D118" s="1157" t="s">
        <v>266</v>
      </c>
      <c r="E118" s="1157">
        <v>3</v>
      </c>
    </row>
    <row r="119" spans="1:5" x14ac:dyDescent="0.2">
      <c r="A119" s="79" t="s">
        <v>311</v>
      </c>
      <c r="B119" s="79" t="s">
        <v>312</v>
      </c>
      <c r="C119" s="79" t="s">
        <v>313</v>
      </c>
      <c r="D119" s="1157" t="s">
        <v>251</v>
      </c>
      <c r="E119" s="1157">
        <v>4</v>
      </c>
    </row>
    <row r="120" spans="1:5" x14ac:dyDescent="0.2">
      <c r="A120" s="79" t="s">
        <v>314</v>
      </c>
      <c r="B120" s="79" t="s">
        <v>315</v>
      </c>
      <c r="C120" s="79" t="s">
        <v>316</v>
      </c>
      <c r="D120" s="1157" t="s">
        <v>266</v>
      </c>
      <c r="E120" s="1157">
        <v>3</v>
      </c>
    </row>
    <row r="121" spans="1:5" x14ac:dyDescent="0.2">
      <c r="A121" s="79" t="s">
        <v>33</v>
      </c>
      <c r="B121" s="79" t="s">
        <v>222</v>
      </c>
      <c r="C121" s="79">
        <v>2518</v>
      </c>
      <c r="D121" s="1157" t="s">
        <v>206</v>
      </c>
      <c r="E121" s="1157">
        <v>1</v>
      </c>
    </row>
    <row r="122" spans="1:5" x14ac:dyDescent="0.2">
      <c r="A122" s="1141" t="s">
        <v>862</v>
      </c>
      <c r="B122" s="489"/>
      <c r="C122" s="715" t="s">
        <v>863</v>
      </c>
      <c r="D122" s="63" t="s">
        <v>266</v>
      </c>
      <c r="E122" s="1157">
        <v>3</v>
      </c>
    </row>
    <row r="123" spans="1:5" x14ac:dyDescent="0.2">
      <c r="A123" s="79" t="s">
        <v>317</v>
      </c>
      <c r="B123" s="79" t="s">
        <v>318</v>
      </c>
      <c r="C123" s="79">
        <v>206106</v>
      </c>
      <c r="D123" s="1157" t="s">
        <v>251</v>
      </c>
      <c r="E123" s="1157">
        <v>4</v>
      </c>
    </row>
    <row r="124" spans="1:5" x14ac:dyDescent="0.2">
      <c r="A124" s="80" t="s">
        <v>319</v>
      </c>
      <c r="B124" s="79"/>
      <c r="C124" s="80" t="s">
        <v>320</v>
      </c>
      <c r="D124" s="1157" t="s">
        <v>251</v>
      </c>
      <c r="E124" s="1157">
        <v>4</v>
      </c>
    </row>
    <row r="125" spans="1:5" x14ac:dyDescent="0.2">
      <c r="A125" s="1144" t="s">
        <v>864</v>
      </c>
      <c r="B125" s="644"/>
      <c r="C125" s="667" t="s">
        <v>865</v>
      </c>
      <c r="D125" s="63" t="s">
        <v>251</v>
      </c>
      <c r="E125" s="1157">
        <v>4</v>
      </c>
    </row>
    <row r="126" spans="1:5" x14ac:dyDescent="0.2">
      <c r="A126" s="1158" t="s">
        <v>34</v>
      </c>
      <c r="B126" s="1159"/>
      <c r="C126" s="94">
        <v>2457</v>
      </c>
    </row>
    <row r="127" spans="1:5" x14ac:dyDescent="0.2">
      <c r="A127" s="1158" t="s">
        <v>99</v>
      </c>
      <c r="B127" s="79"/>
      <c r="C127" s="79">
        <v>2010</v>
      </c>
      <c r="D127" s="1157" t="s">
        <v>206</v>
      </c>
      <c r="E127" s="1157">
        <v>1</v>
      </c>
    </row>
    <row r="128" spans="1:5" x14ac:dyDescent="0.2">
      <c r="A128" s="79" t="s">
        <v>35</v>
      </c>
      <c r="B128" s="79" t="s">
        <v>223</v>
      </c>
      <c r="C128" s="79">
        <v>2002</v>
      </c>
      <c r="D128" s="1157" t="s">
        <v>206</v>
      </c>
      <c r="E128" s="1157">
        <v>1</v>
      </c>
    </row>
    <row r="129" spans="1:5" x14ac:dyDescent="0.2">
      <c r="A129" s="79" t="s">
        <v>36</v>
      </c>
      <c r="B129" s="79" t="s">
        <v>224</v>
      </c>
      <c r="C129" s="79">
        <v>3544</v>
      </c>
      <c r="D129" s="1157" t="s">
        <v>206</v>
      </c>
      <c r="E129" s="1157">
        <v>1</v>
      </c>
    </row>
    <row r="130" spans="1:5" x14ac:dyDescent="0.2">
      <c r="A130" s="79" t="s">
        <v>5</v>
      </c>
      <c r="B130" s="79" t="s">
        <v>225</v>
      </c>
      <c r="C130" s="79">
        <v>1008</v>
      </c>
      <c r="D130" s="1157" t="s">
        <v>203</v>
      </c>
      <c r="E130" s="1157">
        <v>2</v>
      </c>
    </row>
    <row r="131" spans="1:5" x14ac:dyDescent="0.2">
      <c r="A131" s="79" t="s">
        <v>321</v>
      </c>
      <c r="B131" s="79" t="s">
        <v>273</v>
      </c>
      <c r="C131" s="79" t="s">
        <v>322</v>
      </c>
      <c r="D131" s="1157" t="s">
        <v>266</v>
      </c>
      <c r="E131" s="1157">
        <v>3</v>
      </c>
    </row>
    <row r="132" spans="1:5" x14ac:dyDescent="0.2">
      <c r="A132" s="79" t="s">
        <v>100</v>
      </c>
      <c r="B132" s="79" t="s">
        <v>226</v>
      </c>
      <c r="C132" s="79">
        <v>2006</v>
      </c>
      <c r="D132" s="1157" t="s">
        <v>206</v>
      </c>
      <c r="E132" s="1157">
        <v>1</v>
      </c>
    </row>
    <row r="133" spans="1:5" x14ac:dyDescent="0.2">
      <c r="A133" s="80" t="s">
        <v>323</v>
      </c>
      <c r="B133" s="79"/>
      <c r="C133" s="80" t="s">
        <v>324</v>
      </c>
      <c r="D133" s="1157" t="s">
        <v>251</v>
      </c>
      <c r="E133" s="1157">
        <v>4</v>
      </c>
    </row>
    <row r="134" spans="1:5" x14ac:dyDescent="0.2">
      <c r="A134" s="79" t="s">
        <v>325</v>
      </c>
      <c r="B134" s="79" t="s">
        <v>326</v>
      </c>
      <c r="C134" s="79">
        <v>206133</v>
      </c>
      <c r="D134" s="1157" t="s">
        <v>266</v>
      </c>
      <c r="E134" s="1157">
        <v>3</v>
      </c>
    </row>
    <row r="135" spans="1:5" x14ac:dyDescent="0.2">
      <c r="A135" s="1149" t="s">
        <v>867</v>
      </c>
      <c r="B135" s="644"/>
      <c r="C135" s="667" t="s">
        <v>868</v>
      </c>
      <c r="D135" s="63" t="s">
        <v>251</v>
      </c>
      <c r="E135" s="1157">
        <v>4</v>
      </c>
    </row>
    <row r="136" spans="1:5" x14ac:dyDescent="0.2">
      <c r="A136" s="79" t="s">
        <v>327</v>
      </c>
      <c r="B136" s="79" t="s">
        <v>328</v>
      </c>
      <c r="C136" s="79" t="s">
        <v>329</v>
      </c>
      <c r="D136" s="1157" t="s">
        <v>251</v>
      </c>
      <c r="E136" s="1157">
        <v>4</v>
      </c>
    </row>
    <row r="137" spans="1:5" x14ac:dyDescent="0.2">
      <c r="A137" s="79" t="s">
        <v>330</v>
      </c>
      <c r="B137" s="79" t="s">
        <v>331</v>
      </c>
      <c r="C137" s="79">
        <v>206134</v>
      </c>
      <c r="D137" s="1157" t="s">
        <v>266</v>
      </c>
      <c r="E137" s="1157">
        <v>3</v>
      </c>
    </row>
    <row r="138" spans="1:5" x14ac:dyDescent="0.2">
      <c r="A138" s="79" t="s">
        <v>334</v>
      </c>
      <c r="B138" s="79"/>
      <c r="C138" s="79" t="s">
        <v>335</v>
      </c>
      <c r="D138" s="1157" t="s">
        <v>251</v>
      </c>
      <c r="E138" s="1157">
        <v>4</v>
      </c>
    </row>
    <row r="139" spans="1:5" x14ac:dyDescent="0.2">
      <c r="A139" s="1199" t="s">
        <v>332</v>
      </c>
      <c r="B139" s="1200"/>
      <c r="C139" s="1200" t="s">
        <v>333</v>
      </c>
      <c r="D139" s="1157" t="s">
        <v>251</v>
      </c>
      <c r="E139" s="1157">
        <v>4</v>
      </c>
    </row>
    <row r="140" spans="1:5" x14ac:dyDescent="0.2">
      <c r="A140" s="79" t="s">
        <v>336</v>
      </c>
      <c r="B140" s="79"/>
      <c r="C140" s="79" t="s">
        <v>337</v>
      </c>
      <c r="D140" s="1157" t="s">
        <v>251</v>
      </c>
      <c r="E140" s="1157">
        <v>4</v>
      </c>
    </row>
    <row r="141" spans="1:5" x14ac:dyDescent="0.2">
      <c r="A141" s="79" t="s">
        <v>338</v>
      </c>
      <c r="B141" s="79" t="s">
        <v>339</v>
      </c>
      <c r="C141" s="79">
        <v>206109</v>
      </c>
      <c r="D141" s="1157" t="s">
        <v>251</v>
      </c>
      <c r="E141" s="1157">
        <v>4</v>
      </c>
    </row>
    <row r="142" spans="1:5" x14ac:dyDescent="0.2">
      <c r="A142" s="79" t="s">
        <v>37</v>
      </c>
      <c r="B142" s="79" t="s">
        <v>227</v>
      </c>
      <c r="C142" s="79">
        <v>2434</v>
      </c>
      <c r="D142" s="1157" t="s">
        <v>206</v>
      </c>
      <c r="E142" s="1157">
        <v>1</v>
      </c>
    </row>
    <row r="143" spans="1:5" x14ac:dyDescent="0.2">
      <c r="A143" s="1161" t="s">
        <v>597</v>
      </c>
      <c r="B143" s="147"/>
      <c r="C143" s="147">
        <v>6905</v>
      </c>
      <c r="D143" s="1157"/>
      <c r="E143" s="1157"/>
    </row>
    <row r="144" spans="1:5" x14ac:dyDescent="0.2">
      <c r="A144" s="1158" t="s">
        <v>42</v>
      </c>
      <c r="B144" s="1159"/>
      <c r="C144" s="94">
        <v>2009</v>
      </c>
    </row>
    <row r="145" spans="1:8" x14ac:dyDescent="0.2">
      <c r="A145" s="1158" t="s">
        <v>38</v>
      </c>
      <c r="B145" s="1159"/>
      <c r="C145" s="94">
        <v>2522</v>
      </c>
    </row>
    <row r="146" spans="1:8" x14ac:dyDescent="0.2">
      <c r="A146" s="79" t="s">
        <v>340</v>
      </c>
      <c r="B146" s="79" t="s">
        <v>341</v>
      </c>
      <c r="C146" s="79">
        <v>206110</v>
      </c>
      <c r="D146" s="1157" t="s">
        <v>251</v>
      </c>
      <c r="E146" s="1157">
        <v>4</v>
      </c>
    </row>
    <row r="147" spans="1:8" x14ac:dyDescent="0.2">
      <c r="A147" s="79" t="s">
        <v>342</v>
      </c>
      <c r="B147" s="79" t="s">
        <v>343</v>
      </c>
      <c r="C147" s="79">
        <v>206135</v>
      </c>
      <c r="D147" s="1157" t="s">
        <v>266</v>
      </c>
      <c r="E147" s="1157">
        <v>3</v>
      </c>
    </row>
    <row r="148" spans="1:8" x14ac:dyDescent="0.2">
      <c r="A148" s="1158" t="s">
        <v>69</v>
      </c>
      <c r="C148" s="94">
        <v>4181</v>
      </c>
    </row>
    <row r="149" spans="1:8" x14ac:dyDescent="0.2">
      <c r="A149" s="79" t="s">
        <v>344</v>
      </c>
      <c r="B149" s="79" t="s">
        <v>345</v>
      </c>
      <c r="C149" s="79">
        <v>509195</v>
      </c>
      <c r="D149" s="1157" t="s">
        <v>251</v>
      </c>
      <c r="E149" s="1157">
        <v>4</v>
      </c>
    </row>
    <row r="150" spans="1:8" x14ac:dyDescent="0.2">
      <c r="A150" s="87" t="s">
        <v>346</v>
      </c>
      <c r="B150" s="79"/>
      <c r="C150" s="88" t="s">
        <v>347</v>
      </c>
      <c r="D150" s="1157" t="s">
        <v>251</v>
      </c>
      <c r="E150" s="1157">
        <v>4</v>
      </c>
    </row>
    <row r="151" spans="1:8" x14ac:dyDescent="0.2">
      <c r="A151" s="1201" t="s">
        <v>348</v>
      </c>
      <c r="B151" s="1201"/>
      <c r="C151" s="1202" t="s">
        <v>349</v>
      </c>
      <c r="D151" s="1155" t="s">
        <v>251</v>
      </c>
      <c r="E151" s="1157">
        <v>4</v>
      </c>
    </row>
    <row r="152" spans="1:8" x14ac:dyDescent="0.2">
      <c r="A152" s="79" t="s">
        <v>350</v>
      </c>
      <c r="B152" s="79" t="s">
        <v>351</v>
      </c>
      <c r="C152" s="79" t="s">
        <v>352</v>
      </c>
      <c r="D152" s="1157" t="s">
        <v>266</v>
      </c>
      <c r="E152" s="1157">
        <v>3</v>
      </c>
    </row>
    <row r="153" spans="1:8" x14ac:dyDescent="0.2">
      <c r="A153" s="79" t="s">
        <v>353</v>
      </c>
      <c r="B153" s="79" t="s">
        <v>354</v>
      </c>
      <c r="C153" s="79">
        <v>509199</v>
      </c>
      <c r="D153" s="1157" t="s">
        <v>251</v>
      </c>
      <c r="E153" s="1157">
        <v>4</v>
      </c>
    </row>
    <row r="154" spans="1:8" x14ac:dyDescent="0.2">
      <c r="A154" s="79" t="s">
        <v>355</v>
      </c>
      <c r="B154" s="79" t="s">
        <v>356</v>
      </c>
      <c r="C154" s="79">
        <v>509197</v>
      </c>
      <c r="D154" s="1157" t="s">
        <v>251</v>
      </c>
      <c r="E154" s="1157">
        <v>4</v>
      </c>
    </row>
    <row r="155" spans="1:8" x14ac:dyDescent="0.2">
      <c r="A155" s="1151" t="s">
        <v>870</v>
      </c>
      <c r="B155" s="1146"/>
      <c r="C155" s="1152">
        <v>479383</v>
      </c>
      <c r="D155" s="63" t="s">
        <v>266</v>
      </c>
      <c r="E155" s="1157">
        <v>3</v>
      </c>
    </row>
    <row r="156" spans="1:8" x14ac:dyDescent="0.2">
      <c r="A156" s="1170" t="s">
        <v>360</v>
      </c>
      <c r="B156" s="1168"/>
      <c r="C156" s="1168" t="s">
        <v>361</v>
      </c>
      <c r="D156" s="1155" t="s">
        <v>266</v>
      </c>
      <c r="E156" s="94">
        <v>3</v>
      </c>
    </row>
    <row r="157" spans="1:8" x14ac:dyDescent="0.2">
      <c r="A157" s="1158" t="s">
        <v>70</v>
      </c>
      <c r="C157" s="94">
        <v>4182</v>
      </c>
    </row>
    <row r="158" spans="1:8" x14ac:dyDescent="0.2">
      <c r="A158" s="79" t="s">
        <v>357</v>
      </c>
      <c r="B158" s="79" t="s">
        <v>358</v>
      </c>
      <c r="C158" s="79" t="s">
        <v>359</v>
      </c>
      <c r="D158" s="1157" t="s">
        <v>266</v>
      </c>
      <c r="E158" s="1157">
        <v>3</v>
      </c>
    </row>
    <row r="159" spans="1:8" x14ac:dyDescent="0.2">
      <c r="A159" s="79" t="s">
        <v>6</v>
      </c>
      <c r="B159" s="79" t="s">
        <v>228</v>
      </c>
      <c r="C159" s="79">
        <v>1005</v>
      </c>
      <c r="D159" s="1157" t="s">
        <v>203</v>
      </c>
      <c r="E159" s="1157">
        <v>2</v>
      </c>
      <c r="H159" s="57"/>
    </row>
    <row r="160" spans="1:8" x14ac:dyDescent="0.2">
      <c r="A160" s="489" t="s">
        <v>871</v>
      </c>
      <c r="B160" s="489"/>
      <c r="C160" s="584" t="s">
        <v>872</v>
      </c>
      <c r="D160" s="63" t="s">
        <v>266</v>
      </c>
      <c r="E160" s="1157">
        <v>3</v>
      </c>
      <c r="H160" s="57"/>
    </row>
    <row r="161" spans="1:5" x14ac:dyDescent="0.2">
      <c r="A161" s="1158" t="s">
        <v>39</v>
      </c>
      <c r="B161" s="1159"/>
      <c r="C161" s="94">
        <v>2436</v>
      </c>
    </row>
    <row r="162" spans="1:5" x14ac:dyDescent="0.2">
      <c r="A162" s="79" t="s">
        <v>362</v>
      </c>
      <c r="B162" s="79" t="s">
        <v>363</v>
      </c>
      <c r="C162" s="79">
        <v>206117</v>
      </c>
      <c r="D162" s="1157" t="s">
        <v>251</v>
      </c>
      <c r="E162" s="1157">
        <v>4</v>
      </c>
    </row>
    <row r="163" spans="1:5" x14ac:dyDescent="0.2">
      <c r="A163" s="79" t="s">
        <v>40</v>
      </c>
      <c r="B163" s="79" t="s">
        <v>229</v>
      </c>
      <c r="C163" s="79">
        <v>2452</v>
      </c>
      <c r="D163" s="1157" t="s">
        <v>206</v>
      </c>
      <c r="E163" s="1157">
        <v>1</v>
      </c>
    </row>
    <row r="164" spans="1:5" x14ac:dyDescent="0.2">
      <c r="A164" s="1158" t="s">
        <v>71</v>
      </c>
      <c r="C164" s="94">
        <v>4001</v>
      </c>
    </row>
    <row r="165" spans="1:5" x14ac:dyDescent="0.2">
      <c r="A165" s="79" t="s">
        <v>364</v>
      </c>
      <c r="B165" s="79" t="s">
        <v>365</v>
      </c>
      <c r="C165" s="79">
        <v>206141</v>
      </c>
      <c r="D165" s="1157" t="s">
        <v>266</v>
      </c>
      <c r="E165" s="1157">
        <v>3</v>
      </c>
    </row>
    <row r="166" spans="1:5" x14ac:dyDescent="0.2">
      <c r="A166" s="1158" t="s">
        <v>41</v>
      </c>
      <c r="B166" s="1159"/>
      <c r="C166" s="94">
        <v>2627</v>
      </c>
    </row>
    <row r="167" spans="1:5" x14ac:dyDescent="0.2">
      <c r="A167" s="1158" t="s">
        <v>112</v>
      </c>
      <c r="C167" s="94">
        <v>5406</v>
      </c>
    </row>
    <row r="168" spans="1:5" x14ac:dyDescent="0.2">
      <c r="A168" s="1158" t="s">
        <v>113</v>
      </c>
      <c r="C168" s="94">
        <v>5407</v>
      </c>
    </row>
    <row r="169" spans="1:5" x14ac:dyDescent="0.2">
      <c r="A169" s="79" t="s">
        <v>366</v>
      </c>
      <c r="B169" s="79" t="s">
        <v>367</v>
      </c>
      <c r="C169" s="79" t="s">
        <v>368</v>
      </c>
      <c r="D169" s="1157" t="s">
        <v>251</v>
      </c>
      <c r="E169" s="1157">
        <v>4</v>
      </c>
    </row>
    <row r="170" spans="1:5" x14ac:dyDescent="0.2">
      <c r="A170" s="79" t="s">
        <v>369</v>
      </c>
      <c r="B170" s="79" t="s">
        <v>370</v>
      </c>
      <c r="C170" s="79">
        <v>258404</v>
      </c>
      <c r="D170" s="1157" t="s">
        <v>251</v>
      </c>
      <c r="E170" s="1157">
        <v>4</v>
      </c>
    </row>
    <row r="171" spans="1:5" x14ac:dyDescent="0.2">
      <c r="A171" s="1158" t="s">
        <v>101</v>
      </c>
      <c r="B171" s="79" t="s">
        <v>231</v>
      </c>
      <c r="C171" s="79">
        <v>2473</v>
      </c>
      <c r="D171" s="1157" t="s">
        <v>206</v>
      </c>
      <c r="E171" s="1157">
        <v>1</v>
      </c>
    </row>
    <row r="172" spans="1:5" x14ac:dyDescent="0.2">
      <c r="A172" s="1158" t="s">
        <v>44</v>
      </c>
      <c r="B172" s="1159"/>
      <c r="C172" s="94">
        <v>2471</v>
      </c>
    </row>
    <row r="173" spans="1:5" x14ac:dyDescent="0.2">
      <c r="A173" s="79" t="s">
        <v>371</v>
      </c>
      <c r="B173" s="79" t="s">
        <v>372</v>
      </c>
      <c r="C173" s="79">
        <v>258405</v>
      </c>
      <c r="D173" s="1157" t="s">
        <v>251</v>
      </c>
      <c r="E173" s="1157">
        <v>4</v>
      </c>
    </row>
    <row r="174" spans="1:5" x14ac:dyDescent="0.2">
      <c r="A174" s="79" t="s">
        <v>373</v>
      </c>
      <c r="B174" s="79" t="s">
        <v>374</v>
      </c>
      <c r="C174" s="79">
        <v>258406</v>
      </c>
      <c r="D174" s="1157" t="s">
        <v>251</v>
      </c>
      <c r="E174" s="1157">
        <v>4</v>
      </c>
    </row>
    <row r="175" spans="1:5" x14ac:dyDescent="0.2">
      <c r="A175" s="79" t="s">
        <v>43</v>
      </c>
      <c r="B175" s="79" t="s">
        <v>230</v>
      </c>
      <c r="C175" s="79">
        <v>2420</v>
      </c>
      <c r="D175" s="1157" t="s">
        <v>206</v>
      </c>
      <c r="E175" s="1157">
        <v>1</v>
      </c>
    </row>
    <row r="176" spans="1:5" x14ac:dyDescent="0.2">
      <c r="A176" s="79" t="s">
        <v>375</v>
      </c>
      <c r="B176" s="79" t="s">
        <v>376</v>
      </c>
      <c r="C176" s="79">
        <v>206160</v>
      </c>
      <c r="D176" s="1157" t="s">
        <v>266</v>
      </c>
      <c r="E176" s="1157">
        <v>3</v>
      </c>
    </row>
    <row r="177" spans="1:5" x14ac:dyDescent="0.2">
      <c r="A177" s="79" t="s">
        <v>45</v>
      </c>
      <c r="B177" s="79" t="s">
        <v>232</v>
      </c>
      <c r="C177" s="79">
        <v>2003</v>
      </c>
      <c r="D177" s="1157" t="s">
        <v>206</v>
      </c>
      <c r="E177" s="1157">
        <v>1</v>
      </c>
    </row>
    <row r="178" spans="1:5" x14ac:dyDescent="0.2">
      <c r="A178" s="1158" t="s">
        <v>46</v>
      </c>
      <c r="B178" s="1159"/>
      <c r="C178" s="94">
        <v>2423</v>
      </c>
    </row>
    <row r="179" spans="1:5" x14ac:dyDescent="0.2">
      <c r="A179" s="1158" t="s">
        <v>47</v>
      </c>
      <c r="B179" s="1159"/>
      <c r="C179" s="94">
        <v>2424</v>
      </c>
    </row>
    <row r="180" spans="1:5" x14ac:dyDescent="0.2">
      <c r="A180" s="79" t="s">
        <v>377</v>
      </c>
      <c r="B180" s="79" t="s">
        <v>378</v>
      </c>
      <c r="C180" s="79" t="s">
        <v>379</v>
      </c>
      <c r="D180" s="1157" t="s">
        <v>251</v>
      </c>
      <c r="E180" s="1157">
        <v>4</v>
      </c>
    </row>
    <row r="181" spans="1:5" x14ac:dyDescent="0.2">
      <c r="A181" s="726" t="s">
        <v>873</v>
      </c>
      <c r="B181" s="489"/>
      <c r="C181" s="584" t="s">
        <v>874</v>
      </c>
      <c r="D181" s="63" t="s">
        <v>251</v>
      </c>
      <c r="E181" s="1157">
        <v>4</v>
      </c>
    </row>
    <row r="182" spans="1:5" x14ac:dyDescent="0.2">
      <c r="A182" s="79" t="s">
        <v>382</v>
      </c>
      <c r="B182" s="79" t="s">
        <v>383</v>
      </c>
      <c r="C182" s="79" t="s">
        <v>384</v>
      </c>
      <c r="D182" s="1157" t="s">
        <v>251</v>
      </c>
      <c r="E182" s="1157">
        <v>4</v>
      </c>
    </row>
    <row r="183" spans="1:5" x14ac:dyDescent="0.2">
      <c r="A183" s="79" t="s">
        <v>385</v>
      </c>
      <c r="B183" s="79" t="s">
        <v>386</v>
      </c>
      <c r="C183" s="79">
        <v>206146</v>
      </c>
      <c r="D183" s="1157" t="s">
        <v>266</v>
      </c>
      <c r="E183" s="1157">
        <v>3</v>
      </c>
    </row>
    <row r="184" spans="1:5" x14ac:dyDescent="0.2">
      <c r="A184" s="1158" t="s">
        <v>48</v>
      </c>
      <c r="B184" s="1159"/>
      <c r="C184" s="94">
        <v>2439</v>
      </c>
    </row>
    <row r="185" spans="1:5" x14ac:dyDescent="0.2">
      <c r="A185" s="1158" t="s">
        <v>49</v>
      </c>
      <c r="B185" s="1159"/>
      <c r="C185" s="94">
        <v>2440</v>
      </c>
    </row>
    <row r="186" spans="1:5" x14ac:dyDescent="0.2">
      <c r="A186" s="80" t="s">
        <v>387</v>
      </c>
      <c r="B186" s="79"/>
      <c r="C186" s="80" t="s">
        <v>388</v>
      </c>
      <c r="D186" s="1157" t="s">
        <v>251</v>
      </c>
      <c r="E186" s="1157">
        <v>4</v>
      </c>
    </row>
    <row r="187" spans="1:5" x14ac:dyDescent="0.2">
      <c r="A187" s="1158" t="s">
        <v>102</v>
      </c>
      <c r="B187" s="79" t="s">
        <v>233</v>
      </c>
      <c r="C187" s="79">
        <v>2462</v>
      </c>
      <c r="D187" s="1157" t="s">
        <v>206</v>
      </c>
      <c r="E187" s="1157">
        <v>1</v>
      </c>
    </row>
    <row r="188" spans="1:5" x14ac:dyDescent="0.2">
      <c r="A188" s="1158" t="s">
        <v>50</v>
      </c>
      <c r="B188" s="1159"/>
      <c r="C188" s="94">
        <v>2463</v>
      </c>
    </row>
    <row r="189" spans="1:5" x14ac:dyDescent="0.2">
      <c r="A189" s="79" t="s">
        <v>51</v>
      </c>
      <c r="B189" s="79" t="s">
        <v>234</v>
      </c>
      <c r="C189" s="79">
        <v>2505</v>
      </c>
      <c r="D189" s="1157" t="s">
        <v>206</v>
      </c>
      <c r="E189" s="1157">
        <v>1</v>
      </c>
    </row>
    <row r="190" spans="1:5" x14ac:dyDescent="0.2">
      <c r="A190" s="79" t="s">
        <v>52</v>
      </c>
      <c r="B190" s="79" t="s">
        <v>235</v>
      </c>
      <c r="C190" s="79">
        <v>2000</v>
      </c>
      <c r="D190" s="1157" t="s">
        <v>206</v>
      </c>
      <c r="E190" s="1157">
        <v>1</v>
      </c>
    </row>
    <row r="191" spans="1:5" x14ac:dyDescent="0.2">
      <c r="A191" s="1158" t="s">
        <v>53</v>
      </c>
      <c r="B191" s="1159"/>
      <c r="C191" s="94">
        <v>2458</v>
      </c>
    </row>
    <row r="192" spans="1:5" x14ac:dyDescent="0.2">
      <c r="A192" s="79" t="s">
        <v>392</v>
      </c>
      <c r="B192" s="79" t="s">
        <v>393</v>
      </c>
      <c r="C192" s="79" t="s">
        <v>394</v>
      </c>
      <c r="D192" s="1157" t="s">
        <v>251</v>
      </c>
      <c r="E192" s="1157">
        <v>4</v>
      </c>
    </row>
    <row r="193" spans="1:5" x14ac:dyDescent="0.2">
      <c r="A193" s="79" t="s">
        <v>54</v>
      </c>
      <c r="B193" s="79" t="s">
        <v>236</v>
      </c>
      <c r="C193" s="79">
        <v>2001</v>
      </c>
      <c r="D193" s="1157" t="s">
        <v>206</v>
      </c>
      <c r="E193" s="1157">
        <v>1</v>
      </c>
    </row>
    <row r="194" spans="1:5" x14ac:dyDescent="0.2">
      <c r="A194" s="80" t="s">
        <v>395</v>
      </c>
      <c r="B194" s="79"/>
      <c r="C194" s="80" t="s">
        <v>396</v>
      </c>
      <c r="D194" s="1157" t="s">
        <v>251</v>
      </c>
      <c r="E194" s="1157">
        <v>4</v>
      </c>
    </row>
    <row r="195" spans="1:5" x14ac:dyDescent="0.2">
      <c r="A195" s="79" t="s">
        <v>55</v>
      </c>
      <c r="B195" s="79" t="s">
        <v>237</v>
      </c>
      <c r="C195" s="79">
        <v>2429</v>
      </c>
      <c r="D195" s="1157" t="s">
        <v>206</v>
      </c>
      <c r="E195" s="1157">
        <v>1</v>
      </c>
    </row>
    <row r="196" spans="1:5" x14ac:dyDescent="0.2">
      <c r="A196" s="79" t="s">
        <v>397</v>
      </c>
      <c r="B196" s="79" t="s">
        <v>398</v>
      </c>
      <c r="C196" s="79">
        <v>113044</v>
      </c>
      <c r="D196" s="1157" t="s">
        <v>266</v>
      </c>
      <c r="E196" s="1157">
        <v>3</v>
      </c>
    </row>
    <row r="197" spans="1:5" x14ac:dyDescent="0.2">
      <c r="A197" s="79" t="s">
        <v>399</v>
      </c>
      <c r="B197" s="79" t="s">
        <v>400</v>
      </c>
      <c r="C197" s="79" t="s">
        <v>401</v>
      </c>
      <c r="D197" s="1157" t="s">
        <v>251</v>
      </c>
      <c r="E197" s="1157">
        <v>4</v>
      </c>
    </row>
    <row r="198" spans="1:5" x14ac:dyDescent="0.2">
      <c r="A198" s="1158" t="s">
        <v>72</v>
      </c>
      <c r="C198" s="94">
        <v>4607</v>
      </c>
    </row>
    <row r="199" spans="1:5" x14ac:dyDescent="0.2">
      <c r="A199" s="665" t="s">
        <v>881</v>
      </c>
      <c r="B199" s="665"/>
      <c r="C199" s="667" t="s">
        <v>882</v>
      </c>
      <c r="D199" s="63" t="s">
        <v>266</v>
      </c>
      <c r="E199" s="94">
        <v>3</v>
      </c>
    </row>
    <row r="200" spans="1:5" x14ac:dyDescent="0.2">
      <c r="A200" s="726" t="s">
        <v>883</v>
      </c>
      <c r="B200" s="489"/>
      <c r="C200" s="690" t="s">
        <v>884</v>
      </c>
      <c r="D200" s="63" t="s">
        <v>266</v>
      </c>
      <c r="E200" s="94">
        <v>3</v>
      </c>
    </row>
    <row r="201" spans="1:5" x14ac:dyDescent="0.2">
      <c r="A201" s="79" t="s">
        <v>56</v>
      </c>
      <c r="B201" s="79" t="s">
        <v>238</v>
      </c>
      <c r="C201" s="79">
        <v>2444</v>
      </c>
      <c r="D201" s="1157" t="s">
        <v>206</v>
      </c>
      <c r="E201" s="1157">
        <v>1</v>
      </c>
    </row>
    <row r="202" spans="1:5" x14ac:dyDescent="0.2">
      <c r="A202" s="1158" t="s">
        <v>57</v>
      </c>
      <c r="B202" s="1159"/>
      <c r="C202" s="94">
        <v>5209</v>
      </c>
    </row>
    <row r="203" spans="1:5" x14ac:dyDescent="0.2">
      <c r="A203" s="79" t="s">
        <v>402</v>
      </c>
      <c r="B203" s="79" t="s">
        <v>403</v>
      </c>
      <c r="C203" s="79" t="s">
        <v>404</v>
      </c>
      <c r="D203" s="1166" t="s">
        <v>266</v>
      </c>
      <c r="E203" s="1157">
        <v>3</v>
      </c>
    </row>
    <row r="204" spans="1:5" x14ac:dyDescent="0.2">
      <c r="A204" s="79" t="s">
        <v>405</v>
      </c>
      <c r="B204" s="79" t="s">
        <v>406</v>
      </c>
      <c r="C204" s="79" t="s">
        <v>407</v>
      </c>
      <c r="D204" s="1166" t="s">
        <v>251</v>
      </c>
      <c r="E204" s="1157">
        <v>4</v>
      </c>
    </row>
    <row r="205" spans="1:5" x14ac:dyDescent="0.2">
      <c r="A205" s="1158" t="s">
        <v>58</v>
      </c>
      <c r="B205" s="1159"/>
      <c r="C205" s="94">
        <v>2469</v>
      </c>
    </row>
    <row r="206" spans="1:5" x14ac:dyDescent="0.2">
      <c r="A206" s="79" t="s">
        <v>408</v>
      </c>
      <c r="B206" s="79" t="s">
        <v>409</v>
      </c>
      <c r="C206" s="79" t="s">
        <v>410</v>
      </c>
      <c r="D206" s="1166" t="s">
        <v>251</v>
      </c>
      <c r="E206" s="1157">
        <v>4</v>
      </c>
    </row>
    <row r="207" spans="1:5" x14ac:dyDescent="0.2">
      <c r="A207" s="99" t="s">
        <v>411</v>
      </c>
      <c r="B207" s="99"/>
      <c r="C207" s="99" t="s">
        <v>412</v>
      </c>
      <c r="D207" s="1166" t="s">
        <v>251</v>
      </c>
      <c r="E207" s="1157">
        <v>4</v>
      </c>
    </row>
    <row r="208" spans="1:5" x14ac:dyDescent="0.2">
      <c r="A208" s="1158" t="s">
        <v>59</v>
      </c>
      <c r="B208" s="1159"/>
      <c r="C208" s="94">
        <v>2466</v>
      </c>
    </row>
    <row r="209" spans="1:10" x14ac:dyDescent="0.2">
      <c r="A209" s="79" t="s">
        <v>60</v>
      </c>
      <c r="B209" s="79" t="s">
        <v>240</v>
      </c>
      <c r="C209" s="79">
        <v>3543</v>
      </c>
      <c r="D209" s="1166" t="s">
        <v>206</v>
      </c>
      <c r="E209" s="1157">
        <v>1</v>
      </c>
    </row>
    <row r="210" spans="1:10" x14ac:dyDescent="0.2">
      <c r="A210" s="79" t="s">
        <v>413</v>
      </c>
      <c r="B210" s="79" t="s">
        <v>414</v>
      </c>
      <c r="C210" s="79">
        <v>206152</v>
      </c>
      <c r="D210" s="1157" t="s">
        <v>266</v>
      </c>
      <c r="E210" s="1157">
        <v>3</v>
      </c>
    </row>
    <row r="211" spans="1:10" x14ac:dyDescent="0.2">
      <c r="A211" s="79" t="s">
        <v>415</v>
      </c>
      <c r="B211" s="79" t="s">
        <v>416</v>
      </c>
      <c r="C211" s="79">
        <v>206153</v>
      </c>
      <c r="D211" s="1157" t="s">
        <v>266</v>
      </c>
      <c r="E211" s="1157">
        <v>3</v>
      </c>
    </row>
    <row r="212" spans="1:10" x14ac:dyDescent="0.2">
      <c r="A212" s="1158" t="s">
        <v>62</v>
      </c>
      <c r="B212" s="1159"/>
      <c r="C212" s="94">
        <v>3531</v>
      </c>
    </row>
    <row r="213" spans="1:10" x14ac:dyDescent="0.2">
      <c r="A213" s="79" t="s">
        <v>63</v>
      </c>
      <c r="B213" s="79" t="s">
        <v>242</v>
      </c>
      <c r="C213" s="79">
        <v>3526</v>
      </c>
      <c r="D213" s="1157" t="s">
        <v>206</v>
      </c>
      <c r="E213" s="1157">
        <v>1</v>
      </c>
    </row>
    <row r="214" spans="1:10" x14ac:dyDescent="0.2">
      <c r="A214" s="1158" t="s">
        <v>104</v>
      </c>
      <c r="B214" s="1159"/>
      <c r="C214" s="94">
        <v>3535</v>
      </c>
    </row>
    <row r="215" spans="1:10" x14ac:dyDescent="0.2">
      <c r="A215" s="1203" t="s">
        <v>64</v>
      </c>
      <c r="B215" s="1159"/>
      <c r="C215" s="94">
        <v>2008</v>
      </c>
    </row>
    <row r="216" spans="1:10" x14ac:dyDescent="0.2">
      <c r="A216" s="1158" t="s">
        <v>105</v>
      </c>
      <c r="B216" s="1159"/>
      <c r="C216" s="94">
        <v>3542</v>
      </c>
    </row>
    <row r="217" spans="1:10" x14ac:dyDescent="0.2">
      <c r="A217" s="90" t="s">
        <v>417</v>
      </c>
      <c r="B217" s="79" t="s">
        <v>418</v>
      </c>
      <c r="C217" s="79">
        <v>206154</v>
      </c>
      <c r="D217" s="1157" t="s">
        <v>266</v>
      </c>
      <c r="E217" s="1157">
        <v>3</v>
      </c>
    </row>
    <row r="218" spans="1:10" x14ac:dyDescent="0.2">
      <c r="A218" s="1158" t="s">
        <v>106</v>
      </c>
      <c r="B218" s="79" t="s">
        <v>243</v>
      </c>
      <c r="C218" s="79">
        <v>3528</v>
      </c>
      <c r="D218" s="1157" t="s">
        <v>206</v>
      </c>
      <c r="E218" s="1157">
        <v>1</v>
      </c>
    </row>
    <row r="219" spans="1:10" x14ac:dyDescent="0.2">
      <c r="A219" s="80" t="s">
        <v>419</v>
      </c>
      <c r="B219" s="79"/>
      <c r="C219" s="80" t="s">
        <v>420</v>
      </c>
      <c r="D219" s="1157" t="s">
        <v>266</v>
      </c>
      <c r="E219" s="1157">
        <v>3</v>
      </c>
    </row>
    <row r="220" spans="1:10" x14ac:dyDescent="0.2">
      <c r="A220" s="1158" t="s">
        <v>107</v>
      </c>
      <c r="B220" s="1159"/>
      <c r="C220" s="94">
        <v>3534</v>
      </c>
    </row>
    <row r="221" spans="1:10" x14ac:dyDescent="0.2">
      <c r="A221" s="1158" t="s">
        <v>108</v>
      </c>
      <c r="B221" s="1204"/>
      <c r="C221" s="143">
        <v>3532</v>
      </c>
      <c r="I221" s="71"/>
      <c r="J221" s="71"/>
    </row>
    <row r="222" spans="1:10" x14ac:dyDescent="0.2">
      <c r="A222" s="107" t="s">
        <v>7</v>
      </c>
      <c r="B222" s="79" t="s">
        <v>244</v>
      </c>
      <c r="C222" s="79">
        <v>1010</v>
      </c>
      <c r="D222" s="1157" t="s">
        <v>203</v>
      </c>
      <c r="E222" s="1157">
        <v>2</v>
      </c>
      <c r="I222" s="130"/>
      <c r="J222" s="136"/>
    </row>
    <row r="223" spans="1:10" x14ac:dyDescent="0.2">
      <c r="A223" s="107" t="s">
        <v>421</v>
      </c>
      <c r="B223" s="79" t="s">
        <v>422</v>
      </c>
      <c r="C223" s="79" t="s">
        <v>423</v>
      </c>
      <c r="D223" s="1157" t="s">
        <v>251</v>
      </c>
      <c r="E223" s="1157">
        <v>4</v>
      </c>
      <c r="I223" s="130"/>
      <c r="J223" s="136"/>
    </row>
    <row r="224" spans="1:10" x14ac:dyDescent="0.2">
      <c r="A224" s="1158" t="s">
        <v>114</v>
      </c>
      <c r="B224" s="1155" t="s">
        <v>683</v>
      </c>
      <c r="C224" s="94">
        <v>4177</v>
      </c>
      <c r="D224" s="1155" t="s">
        <v>206</v>
      </c>
      <c r="E224" s="94">
        <v>1</v>
      </c>
      <c r="I224" s="130"/>
      <c r="J224" s="136"/>
    </row>
    <row r="225" spans="1:10" x14ac:dyDescent="0.2">
      <c r="A225" s="79" t="s">
        <v>424</v>
      </c>
      <c r="B225" s="79" t="s">
        <v>425</v>
      </c>
      <c r="C225" s="79" t="s">
        <v>426</v>
      </c>
      <c r="D225" s="1157" t="s">
        <v>251</v>
      </c>
      <c r="E225" s="1157">
        <v>4</v>
      </c>
      <c r="I225" s="130"/>
      <c r="J225" s="71"/>
    </row>
    <row r="226" spans="1:10" x14ac:dyDescent="0.2">
      <c r="A226" s="79" t="s">
        <v>427</v>
      </c>
      <c r="B226" s="79" t="s">
        <v>425</v>
      </c>
      <c r="C226" s="79">
        <v>206103</v>
      </c>
      <c r="D226" s="1157" t="s">
        <v>251</v>
      </c>
      <c r="E226" s="1157">
        <v>4</v>
      </c>
      <c r="I226" s="130"/>
      <c r="J226" s="136"/>
    </row>
    <row r="227" spans="1:10" x14ac:dyDescent="0.2">
      <c r="A227" s="79" t="s">
        <v>428</v>
      </c>
      <c r="B227" s="79" t="s">
        <v>429</v>
      </c>
      <c r="C227" s="79" t="s">
        <v>430</v>
      </c>
      <c r="D227" s="1157" t="s">
        <v>251</v>
      </c>
      <c r="E227" s="1157">
        <v>4</v>
      </c>
      <c r="I227" s="130"/>
      <c r="J227" s="71"/>
    </row>
    <row r="228" spans="1:10" x14ac:dyDescent="0.2">
      <c r="A228" s="79" t="s">
        <v>431</v>
      </c>
      <c r="B228" s="79" t="s">
        <v>432</v>
      </c>
      <c r="C228" s="79" t="s">
        <v>433</v>
      </c>
      <c r="D228" s="1157" t="s">
        <v>251</v>
      </c>
      <c r="E228" s="1157">
        <v>4</v>
      </c>
      <c r="I228" s="130"/>
      <c r="J228" s="71"/>
    </row>
    <row r="229" spans="1:10" x14ac:dyDescent="0.2">
      <c r="A229" s="79" t="s">
        <v>434</v>
      </c>
      <c r="B229" s="79" t="s">
        <v>435</v>
      </c>
      <c r="C229" s="79">
        <v>258420</v>
      </c>
      <c r="D229" s="1157" t="s">
        <v>251</v>
      </c>
      <c r="E229" s="1157">
        <v>4</v>
      </c>
      <c r="I229" s="130"/>
      <c r="J229" s="71"/>
    </row>
    <row r="230" spans="1:10" x14ac:dyDescent="0.2">
      <c r="A230" s="79" t="s">
        <v>436</v>
      </c>
      <c r="B230" s="79" t="s">
        <v>437</v>
      </c>
      <c r="C230" s="79">
        <v>258424</v>
      </c>
      <c r="D230" s="1157" t="s">
        <v>251</v>
      </c>
      <c r="E230" s="1157">
        <v>4</v>
      </c>
      <c r="I230" s="130"/>
      <c r="J230" s="71"/>
    </row>
    <row r="231" spans="1:10" x14ac:dyDescent="0.2">
      <c r="A231" s="79" t="s">
        <v>438</v>
      </c>
      <c r="B231" s="79"/>
      <c r="C231" s="79" t="s">
        <v>439</v>
      </c>
      <c r="D231" s="1157" t="s">
        <v>266</v>
      </c>
      <c r="E231" s="1157">
        <v>3</v>
      </c>
      <c r="I231" s="130"/>
      <c r="J231" s="71"/>
    </row>
    <row r="232" spans="1:10" x14ac:dyDescent="0.2">
      <c r="A232" s="142" t="s">
        <v>65</v>
      </c>
      <c r="B232" s="79" t="s">
        <v>245</v>
      </c>
      <c r="C232" s="79">
        <v>3546</v>
      </c>
      <c r="D232" s="1157" t="s">
        <v>206</v>
      </c>
      <c r="E232" s="1157">
        <v>1</v>
      </c>
      <c r="I232" s="130"/>
      <c r="J232" s="71"/>
    </row>
    <row r="233" spans="1:10" x14ac:dyDescent="0.2">
      <c r="A233" s="140" t="s">
        <v>8</v>
      </c>
      <c r="B233" s="140" t="s">
        <v>246</v>
      </c>
      <c r="C233" s="79">
        <v>1009</v>
      </c>
      <c r="D233" s="1157" t="s">
        <v>203</v>
      </c>
      <c r="E233" s="1157">
        <v>2</v>
      </c>
      <c r="I233" s="130"/>
      <c r="J233" s="71"/>
    </row>
    <row r="234" spans="1:10" x14ac:dyDescent="0.2">
      <c r="A234" s="142" t="s">
        <v>66</v>
      </c>
      <c r="B234" s="79" t="s">
        <v>247</v>
      </c>
      <c r="C234" s="79">
        <v>3530</v>
      </c>
      <c r="D234" s="1157" t="s">
        <v>206</v>
      </c>
      <c r="E234" s="1157">
        <v>1</v>
      </c>
      <c r="I234" s="130"/>
      <c r="J234" s="71"/>
    </row>
    <row r="235" spans="1:10" x14ac:dyDescent="0.2">
      <c r="A235" s="1158" t="s">
        <v>74</v>
      </c>
      <c r="B235" s="1205"/>
      <c r="C235" s="94">
        <v>5412</v>
      </c>
      <c r="I235" s="130"/>
      <c r="J235" s="71"/>
    </row>
    <row r="236" spans="1:10" ht="15" x14ac:dyDescent="0.2">
      <c r="A236" s="146" t="s">
        <v>445</v>
      </c>
      <c r="B236" s="146" t="s">
        <v>446</v>
      </c>
      <c r="C236" s="146" t="s">
        <v>446</v>
      </c>
      <c r="D236" s="1157" t="s">
        <v>251</v>
      </c>
      <c r="E236" s="1157">
        <v>4</v>
      </c>
      <c r="I236" s="130"/>
      <c r="J236" s="71"/>
    </row>
    <row r="237" spans="1:10" x14ac:dyDescent="0.2">
      <c r="A237" s="140" t="s">
        <v>440</v>
      </c>
      <c r="B237" s="140" t="s">
        <v>441</v>
      </c>
      <c r="C237" s="144" t="s">
        <v>442</v>
      </c>
      <c r="D237" s="1157" t="s">
        <v>266</v>
      </c>
      <c r="E237" s="1157">
        <v>3</v>
      </c>
      <c r="I237" s="130"/>
      <c r="J237" s="71"/>
    </row>
    <row r="238" spans="1:10" x14ac:dyDescent="0.2">
      <c r="A238" s="79" t="s">
        <v>9</v>
      </c>
      <c r="B238" s="140" t="s">
        <v>248</v>
      </c>
      <c r="C238" s="140">
        <v>1015</v>
      </c>
      <c r="D238" s="1157" t="s">
        <v>203</v>
      </c>
      <c r="E238" s="1157">
        <v>2</v>
      </c>
      <c r="I238" s="130"/>
      <c r="J238" s="71"/>
    </row>
    <row r="239" spans="1:10" x14ac:dyDescent="0.2">
      <c r="A239" s="141" t="s">
        <v>443</v>
      </c>
      <c r="B239" s="140"/>
      <c r="C239" s="145" t="s">
        <v>444</v>
      </c>
      <c r="D239" s="1157" t="s">
        <v>251</v>
      </c>
      <c r="E239" s="1157">
        <v>4</v>
      </c>
      <c r="I239" s="130"/>
      <c r="J239" s="71"/>
    </row>
    <row r="240" spans="1:10" x14ac:dyDescent="0.2">
      <c r="A240" s="142" t="s">
        <v>447</v>
      </c>
      <c r="B240" s="79" t="s">
        <v>448</v>
      </c>
      <c r="C240" s="79">
        <v>509204</v>
      </c>
      <c r="D240" s="1157" t="s">
        <v>251</v>
      </c>
      <c r="E240" s="1157">
        <v>4</v>
      </c>
      <c r="I240" s="130"/>
      <c r="J240" s="71"/>
    </row>
    <row r="241" spans="1:10" x14ac:dyDescent="0.2">
      <c r="A241" s="1206" t="s">
        <v>67</v>
      </c>
      <c r="B241" s="1207"/>
      <c r="C241" s="143">
        <v>2459</v>
      </c>
      <c r="I241" s="130"/>
      <c r="J241" s="71"/>
    </row>
    <row r="242" spans="1:10" x14ac:dyDescent="0.2">
      <c r="A242" s="79" t="s">
        <v>96</v>
      </c>
      <c r="B242" s="79"/>
      <c r="C242" s="79">
        <v>2007</v>
      </c>
      <c r="D242" s="1157" t="s">
        <v>206</v>
      </c>
      <c r="E242" s="1157">
        <v>1</v>
      </c>
      <c r="I242" s="130"/>
      <c r="J242" s="136"/>
    </row>
    <row r="243" spans="1:10" x14ac:dyDescent="0.2">
      <c r="I243" s="130"/>
      <c r="J243" s="71"/>
    </row>
  </sheetData>
  <sheetProtection password="EF5C" sheet="1" objects="1" scenarios="1" selectLockedCells="1" selectUnlockedCells="1"/>
  <sortState ref="A51:E80">
    <sortCondition ref="A51:A80"/>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0"/>
  <sheetViews>
    <sheetView topLeftCell="M1" workbookViewId="0">
      <selection sqref="A1:L1048576"/>
    </sheetView>
  </sheetViews>
  <sheetFormatPr defaultRowHeight="12.75" x14ac:dyDescent="0.2"/>
  <cols>
    <col min="1" max="1" width="23.28515625" style="52" hidden="1" customWidth="1"/>
    <col min="2" max="7" width="0" style="52" hidden="1" customWidth="1"/>
    <col min="8" max="8" width="11.42578125" style="52" hidden="1" customWidth="1"/>
    <col min="9" max="12" width="0" style="52" hidden="1" customWidth="1"/>
    <col min="13" max="16384" width="9.140625" style="52"/>
  </cols>
  <sheetData>
    <row r="1" spans="1:8" x14ac:dyDescent="0.2">
      <c r="A1" s="52" t="s">
        <v>516</v>
      </c>
      <c r="C1" s="93" t="s">
        <v>117</v>
      </c>
      <c r="H1" s="92"/>
    </row>
    <row r="2" spans="1:8" x14ac:dyDescent="0.2">
      <c r="A2" s="52" t="s">
        <v>520</v>
      </c>
      <c r="B2" s="52" t="s">
        <v>521</v>
      </c>
      <c r="C2" s="92">
        <v>7026</v>
      </c>
    </row>
    <row r="3" spans="1:8" x14ac:dyDescent="0.2">
      <c r="A3" s="52" t="s">
        <v>522</v>
      </c>
      <c r="B3" s="52" t="s">
        <v>523</v>
      </c>
      <c r="C3" s="52">
        <v>7027</v>
      </c>
    </row>
    <row r="4" spans="1:8" x14ac:dyDescent="0.2">
      <c r="A4" s="52" t="s">
        <v>524</v>
      </c>
      <c r="B4" s="52" t="s">
        <v>525</v>
      </c>
      <c r="C4" s="52">
        <v>7025</v>
      </c>
    </row>
    <row r="5" spans="1:8" x14ac:dyDescent="0.2">
      <c r="A5" s="52" t="s">
        <v>526</v>
      </c>
      <c r="B5" s="52" t="s">
        <v>527</v>
      </c>
      <c r="C5" s="52">
        <v>7024</v>
      </c>
    </row>
    <row r="6" spans="1:8" x14ac:dyDescent="0.2">
      <c r="A6" s="52" t="s">
        <v>581</v>
      </c>
      <c r="B6" s="52" t="s">
        <v>528</v>
      </c>
      <c r="C6" s="52">
        <v>7021</v>
      </c>
    </row>
    <row r="7" spans="1:8" x14ac:dyDescent="0.2">
      <c r="A7" s="52" t="s">
        <v>155</v>
      </c>
      <c r="B7" s="52" t="s">
        <v>533</v>
      </c>
      <c r="C7" s="52">
        <v>7029</v>
      </c>
    </row>
    <row r="8" spans="1:8" x14ac:dyDescent="0.2">
      <c r="A8" s="92" t="s">
        <v>530</v>
      </c>
      <c r="B8" s="52" t="s">
        <v>531</v>
      </c>
      <c r="C8" s="52">
        <v>1104</v>
      </c>
    </row>
    <row r="9" spans="1:8" x14ac:dyDescent="0.2">
      <c r="A9" s="92" t="s">
        <v>529</v>
      </c>
      <c r="B9" s="52" t="s">
        <v>532</v>
      </c>
      <c r="C9" s="52">
        <v>1103</v>
      </c>
    </row>
    <row r="10" spans="1:8" x14ac:dyDescent="0.2">
      <c r="A10" s="92" t="s">
        <v>511</v>
      </c>
      <c r="C10" s="93" t="s">
        <v>117</v>
      </c>
    </row>
  </sheetData>
  <sheetProtection password="EF5C" sheet="1" objects="1" scenarios="1" selectLockedCells="1" selectUn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F284"/>
  <sheetViews>
    <sheetView zoomScaleNormal="100" workbookViewId="0">
      <pane xSplit="1" ySplit="4" topLeftCell="AC5" activePane="bottomRight" state="frozen"/>
      <selection pane="topRight" activeCell="B1" sqref="B1"/>
      <selection pane="bottomLeft" activeCell="A5" sqref="A5"/>
      <selection pane="bottomRight" sqref="A1:AF1048576"/>
    </sheetView>
  </sheetViews>
  <sheetFormatPr defaultRowHeight="15" x14ac:dyDescent="0.25"/>
  <cols>
    <col min="1" max="1" width="34.7109375" style="45" hidden="1" customWidth="1"/>
    <col min="2" max="2" width="7.85546875" style="45" hidden="1" customWidth="1"/>
    <col min="3" max="3" width="2.42578125" style="47" hidden="1" customWidth="1"/>
    <col min="4" max="9" width="9.140625" style="45" hidden="1" customWidth="1"/>
    <col min="10" max="10" width="2.42578125" style="47" hidden="1" customWidth="1"/>
    <col min="11" max="16" width="9.140625" style="45" hidden="1" customWidth="1"/>
    <col min="17" max="17" width="2.42578125" style="47" hidden="1" customWidth="1"/>
    <col min="18" max="23" width="0" style="45" hidden="1" customWidth="1"/>
    <col min="24" max="24" width="4.85546875" style="47" hidden="1" customWidth="1"/>
    <col min="25" max="25" width="13.42578125" style="46" hidden="1" customWidth="1"/>
    <col min="26" max="29" width="14.85546875" style="46" hidden="1" customWidth="1"/>
    <col min="30" max="30" width="10.85546875" style="46" hidden="1" customWidth="1"/>
    <col min="31" max="31" width="0" style="45" hidden="1" customWidth="1"/>
    <col min="32" max="32" width="108.28515625" style="45" hidden="1" customWidth="1"/>
    <col min="33" max="251" width="9.140625" style="45"/>
    <col min="252" max="252" width="52.5703125" style="45" bestFit="1" customWidth="1"/>
    <col min="253" max="253" width="7.85546875" style="45" customWidth="1"/>
    <col min="254" max="258" width="9.140625" style="45" customWidth="1"/>
    <col min="259" max="259" width="2.42578125" style="45" customWidth="1"/>
    <col min="260" max="265" width="9.140625" style="45" customWidth="1"/>
    <col min="266" max="266" width="2.42578125" style="45" customWidth="1"/>
    <col min="267" max="272" width="9.140625" style="45" customWidth="1"/>
    <col min="273" max="273" width="2.42578125" style="45" customWidth="1"/>
    <col min="274" max="279" width="9.140625" style="45"/>
    <col min="280" max="280" width="4.85546875" style="45" customWidth="1"/>
    <col min="281" max="281" width="13.42578125" style="45" bestFit="1" customWidth="1"/>
    <col min="282" max="282" width="14.85546875" style="45" bestFit="1" customWidth="1"/>
    <col min="283" max="285" width="14.85546875" style="45" customWidth="1"/>
    <col min="286" max="286" width="10.85546875" style="45" bestFit="1" customWidth="1"/>
    <col min="287" max="287" width="9.140625" style="45"/>
    <col min="288" max="288" width="108.28515625" style="45" customWidth="1"/>
    <col min="289" max="507" width="9.140625" style="45"/>
    <col min="508" max="508" width="52.5703125" style="45" bestFit="1" customWidth="1"/>
    <col min="509" max="509" width="7.85546875" style="45" customWidth="1"/>
    <col min="510" max="514" width="9.140625" style="45" customWidth="1"/>
    <col min="515" max="515" width="2.42578125" style="45" customWidth="1"/>
    <col min="516" max="521" width="9.140625" style="45" customWidth="1"/>
    <col min="522" max="522" width="2.42578125" style="45" customWidth="1"/>
    <col min="523" max="528" width="9.140625" style="45" customWidth="1"/>
    <col min="529" max="529" width="2.42578125" style="45" customWidth="1"/>
    <col min="530" max="535" width="9.140625" style="45"/>
    <col min="536" max="536" width="4.85546875" style="45" customWidth="1"/>
    <col min="537" max="537" width="13.42578125" style="45" bestFit="1" customWidth="1"/>
    <col min="538" max="538" width="14.85546875" style="45" bestFit="1" customWidth="1"/>
    <col min="539" max="541" width="14.85546875" style="45" customWidth="1"/>
    <col min="542" max="542" width="10.85546875" style="45" bestFit="1" customWidth="1"/>
    <col min="543" max="543" width="9.140625" style="45"/>
    <col min="544" max="544" width="108.28515625" style="45" customWidth="1"/>
    <col min="545" max="763" width="9.140625" style="45"/>
    <col min="764" max="764" width="52.5703125" style="45" bestFit="1" customWidth="1"/>
    <col min="765" max="765" width="7.85546875" style="45" customWidth="1"/>
    <col min="766" max="770" width="9.140625" style="45" customWidth="1"/>
    <col min="771" max="771" width="2.42578125" style="45" customWidth="1"/>
    <col min="772" max="777" width="9.140625" style="45" customWidth="1"/>
    <col min="778" max="778" width="2.42578125" style="45" customWidth="1"/>
    <col min="779" max="784" width="9.140625" style="45" customWidth="1"/>
    <col min="785" max="785" width="2.42578125" style="45" customWidth="1"/>
    <col min="786" max="791" width="9.140625" style="45"/>
    <col min="792" max="792" width="4.85546875" style="45" customWidth="1"/>
    <col min="793" max="793" width="13.42578125" style="45" bestFit="1" customWidth="1"/>
    <col min="794" max="794" width="14.85546875" style="45" bestFit="1" customWidth="1"/>
    <col min="795" max="797" width="14.85546875" style="45" customWidth="1"/>
    <col min="798" max="798" width="10.85546875" style="45" bestFit="1" customWidth="1"/>
    <col min="799" max="799" width="9.140625" style="45"/>
    <col min="800" max="800" width="108.28515625" style="45" customWidth="1"/>
    <col min="801" max="1019" width="9.140625" style="45"/>
    <col min="1020" max="1020" width="52.5703125" style="45" bestFit="1" customWidth="1"/>
    <col min="1021" max="1021" width="7.85546875" style="45" customWidth="1"/>
    <col min="1022" max="1026" width="9.140625" style="45" customWidth="1"/>
    <col min="1027" max="1027" width="2.42578125" style="45" customWidth="1"/>
    <col min="1028" max="1033" width="9.140625" style="45" customWidth="1"/>
    <col min="1034" max="1034" width="2.42578125" style="45" customWidth="1"/>
    <col min="1035" max="1040" width="9.140625" style="45" customWidth="1"/>
    <col min="1041" max="1041" width="2.42578125" style="45" customWidth="1"/>
    <col min="1042" max="1047" width="9.140625" style="45"/>
    <col min="1048" max="1048" width="4.85546875" style="45" customWidth="1"/>
    <col min="1049" max="1049" width="13.42578125" style="45" bestFit="1" customWidth="1"/>
    <col min="1050" max="1050" width="14.85546875" style="45" bestFit="1" customWidth="1"/>
    <col min="1051" max="1053" width="14.85546875" style="45" customWidth="1"/>
    <col min="1054" max="1054" width="10.85546875" style="45" bestFit="1" customWidth="1"/>
    <col min="1055" max="1055" width="9.140625" style="45"/>
    <col min="1056" max="1056" width="108.28515625" style="45" customWidth="1"/>
    <col min="1057" max="1275" width="9.140625" style="45"/>
    <col min="1276" max="1276" width="52.5703125" style="45" bestFit="1" customWidth="1"/>
    <col min="1277" max="1277" width="7.85546875" style="45" customWidth="1"/>
    <col min="1278" max="1282" width="9.140625" style="45" customWidth="1"/>
    <col min="1283" max="1283" width="2.42578125" style="45" customWidth="1"/>
    <col min="1284" max="1289" width="9.140625" style="45" customWidth="1"/>
    <col min="1290" max="1290" width="2.42578125" style="45" customWidth="1"/>
    <col min="1291" max="1296" width="9.140625" style="45" customWidth="1"/>
    <col min="1297" max="1297" width="2.42578125" style="45" customWidth="1"/>
    <col min="1298" max="1303" width="9.140625" style="45"/>
    <col min="1304" max="1304" width="4.85546875" style="45" customWidth="1"/>
    <col min="1305" max="1305" width="13.42578125" style="45" bestFit="1" customWidth="1"/>
    <col min="1306" max="1306" width="14.85546875" style="45" bestFit="1" customWidth="1"/>
    <col min="1307" max="1309" width="14.85546875" style="45" customWidth="1"/>
    <col min="1310" max="1310" width="10.85546875" style="45" bestFit="1" customWidth="1"/>
    <col min="1311" max="1311" width="9.140625" style="45"/>
    <col min="1312" max="1312" width="108.28515625" style="45" customWidth="1"/>
    <col min="1313" max="1531" width="9.140625" style="45"/>
    <col min="1532" max="1532" width="52.5703125" style="45" bestFit="1" customWidth="1"/>
    <col min="1533" max="1533" width="7.85546875" style="45" customWidth="1"/>
    <col min="1534" max="1538" width="9.140625" style="45" customWidth="1"/>
    <col min="1539" max="1539" width="2.42578125" style="45" customWidth="1"/>
    <col min="1540" max="1545" width="9.140625" style="45" customWidth="1"/>
    <col min="1546" max="1546" width="2.42578125" style="45" customWidth="1"/>
    <col min="1547" max="1552" width="9.140625" style="45" customWidth="1"/>
    <col min="1553" max="1553" width="2.42578125" style="45" customWidth="1"/>
    <col min="1554" max="1559" width="9.140625" style="45"/>
    <col min="1560" max="1560" width="4.85546875" style="45" customWidth="1"/>
    <col min="1561" max="1561" width="13.42578125" style="45" bestFit="1" customWidth="1"/>
    <col min="1562" max="1562" width="14.85546875" style="45" bestFit="1" customWidth="1"/>
    <col min="1563" max="1565" width="14.85546875" style="45" customWidth="1"/>
    <col min="1566" max="1566" width="10.85546875" style="45" bestFit="1" customWidth="1"/>
    <col min="1567" max="1567" width="9.140625" style="45"/>
    <col min="1568" max="1568" width="108.28515625" style="45" customWidth="1"/>
    <col min="1569" max="1787" width="9.140625" style="45"/>
    <col min="1788" max="1788" width="52.5703125" style="45" bestFit="1" customWidth="1"/>
    <col min="1789" max="1789" width="7.85546875" style="45" customWidth="1"/>
    <col min="1790" max="1794" width="9.140625" style="45" customWidth="1"/>
    <col min="1795" max="1795" width="2.42578125" style="45" customWidth="1"/>
    <col min="1796" max="1801" width="9.140625" style="45" customWidth="1"/>
    <col min="1802" max="1802" width="2.42578125" style="45" customWidth="1"/>
    <col min="1803" max="1808" width="9.140625" style="45" customWidth="1"/>
    <col min="1809" max="1809" width="2.42578125" style="45" customWidth="1"/>
    <col min="1810" max="1815" width="9.140625" style="45"/>
    <col min="1816" max="1816" width="4.85546875" style="45" customWidth="1"/>
    <col min="1817" max="1817" width="13.42578125" style="45" bestFit="1" customWidth="1"/>
    <col min="1818" max="1818" width="14.85546875" style="45" bestFit="1" customWidth="1"/>
    <col min="1819" max="1821" width="14.85546875" style="45" customWidth="1"/>
    <col min="1822" max="1822" width="10.85546875" style="45" bestFit="1" customWidth="1"/>
    <col min="1823" max="1823" width="9.140625" style="45"/>
    <col min="1824" max="1824" width="108.28515625" style="45" customWidth="1"/>
    <col min="1825" max="2043" width="9.140625" style="45"/>
    <col min="2044" max="2044" width="52.5703125" style="45" bestFit="1" customWidth="1"/>
    <col min="2045" max="2045" width="7.85546875" style="45" customWidth="1"/>
    <col min="2046" max="2050" width="9.140625" style="45" customWidth="1"/>
    <col min="2051" max="2051" width="2.42578125" style="45" customWidth="1"/>
    <col min="2052" max="2057" width="9.140625" style="45" customWidth="1"/>
    <col min="2058" max="2058" width="2.42578125" style="45" customWidth="1"/>
    <col min="2059" max="2064" width="9.140625" style="45" customWidth="1"/>
    <col min="2065" max="2065" width="2.42578125" style="45" customWidth="1"/>
    <col min="2066" max="2071" width="9.140625" style="45"/>
    <col min="2072" max="2072" width="4.85546875" style="45" customWidth="1"/>
    <col min="2073" max="2073" width="13.42578125" style="45" bestFit="1" customWidth="1"/>
    <col min="2074" max="2074" width="14.85546875" style="45" bestFit="1" customWidth="1"/>
    <col min="2075" max="2077" width="14.85546875" style="45" customWidth="1"/>
    <col min="2078" max="2078" width="10.85546875" style="45" bestFit="1" customWidth="1"/>
    <col min="2079" max="2079" width="9.140625" style="45"/>
    <col min="2080" max="2080" width="108.28515625" style="45" customWidth="1"/>
    <col min="2081" max="2299" width="9.140625" style="45"/>
    <col min="2300" max="2300" width="52.5703125" style="45" bestFit="1" customWidth="1"/>
    <col min="2301" max="2301" width="7.85546875" style="45" customWidth="1"/>
    <col min="2302" max="2306" width="9.140625" style="45" customWidth="1"/>
    <col min="2307" max="2307" width="2.42578125" style="45" customWidth="1"/>
    <col min="2308" max="2313" width="9.140625" style="45" customWidth="1"/>
    <col min="2314" max="2314" width="2.42578125" style="45" customWidth="1"/>
    <col min="2315" max="2320" width="9.140625" style="45" customWidth="1"/>
    <col min="2321" max="2321" width="2.42578125" style="45" customWidth="1"/>
    <col min="2322" max="2327" width="9.140625" style="45"/>
    <col min="2328" max="2328" width="4.85546875" style="45" customWidth="1"/>
    <col min="2329" max="2329" width="13.42578125" style="45" bestFit="1" customWidth="1"/>
    <col min="2330" max="2330" width="14.85546875" style="45" bestFit="1" customWidth="1"/>
    <col min="2331" max="2333" width="14.85546875" style="45" customWidth="1"/>
    <col min="2334" max="2334" width="10.85546875" style="45" bestFit="1" customWidth="1"/>
    <col min="2335" max="2335" width="9.140625" style="45"/>
    <col min="2336" max="2336" width="108.28515625" style="45" customWidth="1"/>
    <col min="2337" max="2555" width="9.140625" style="45"/>
    <col min="2556" max="2556" width="52.5703125" style="45" bestFit="1" customWidth="1"/>
    <col min="2557" max="2557" width="7.85546875" style="45" customWidth="1"/>
    <col min="2558" max="2562" width="9.140625" style="45" customWidth="1"/>
    <col min="2563" max="2563" width="2.42578125" style="45" customWidth="1"/>
    <col min="2564" max="2569" width="9.140625" style="45" customWidth="1"/>
    <col min="2570" max="2570" width="2.42578125" style="45" customWidth="1"/>
    <col min="2571" max="2576" width="9.140625" style="45" customWidth="1"/>
    <col min="2577" max="2577" width="2.42578125" style="45" customWidth="1"/>
    <col min="2578" max="2583" width="9.140625" style="45"/>
    <col min="2584" max="2584" width="4.85546875" style="45" customWidth="1"/>
    <col min="2585" max="2585" width="13.42578125" style="45" bestFit="1" customWidth="1"/>
    <col min="2586" max="2586" width="14.85546875" style="45" bestFit="1" customWidth="1"/>
    <col min="2587" max="2589" width="14.85546875" style="45" customWidth="1"/>
    <col min="2590" max="2590" width="10.85546875" style="45" bestFit="1" customWidth="1"/>
    <col min="2591" max="2591" width="9.140625" style="45"/>
    <col min="2592" max="2592" width="108.28515625" style="45" customWidth="1"/>
    <col min="2593" max="2811" width="9.140625" style="45"/>
    <col min="2812" max="2812" width="52.5703125" style="45" bestFit="1" customWidth="1"/>
    <col min="2813" max="2813" width="7.85546875" style="45" customWidth="1"/>
    <col min="2814" max="2818" width="9.140625" style="45" customWidth="1"/>
    <col min="2819" max="2819" width="2.42578125" style="45" customWidth="1"/>
    <col min="2820" max="2825" width="9.140625" style="45" customWidth="1"/>
    <col min="2826" max="2826" width="2.42578125" style="45" customWidth="1"/>
    <col min="2827" max="2832" width="9.140625" style="45" customWidth="1"/>
    <col min="2833" max="2833" width="2.42578125" style="45" customWidth="1"/>
    <col min="2834" max="2839" width="9.140625" style="45"/>
    <col min="2840" max="2840" width="4.85546875" style="45" customWidth="1"/>
    <col min="2841" max="2841" width="13.42578125" style="45" bestFit="1" customWidth="1"/>
    <col min="2842" max="2842" width="14.85546875" style="45" bestFit="1" customWidth="1"/>
    <col min="2843" max="2845" width="14.85546875" style="45" customWidth="1"/>
    <col min="2846" max="2846" width="10.85546875" style="45" bestFit="1" customWidth="1"/>
    <col min="2847" max="2847" width="9.140625" style="45"/>
    <col min="2848" max="2848" width="108.28515625" style="45" customWidth="1"/>
    <col min="2849" max="3067" width="9.140625" style="45"/>
    <col min="3068" max="3068" width="52.5703125" style="45" bestFit="1" customWidth="1"/>
    <col min="3069" max="3069" width="7.85546875" style="45" customWidth="1"/>
    <col min="3070" max="3074" width="9.140625" style="45" customWidth="1"/>
    <col min="3075" max="3075" width="2.42578125" style="45" customWidth="1"/>
    <col min="3076" max="3081" width="9.140625" style="45" customWidth="1"/>
    <col min="3082" max="3082" width="2.42578125" style="45" customWidth="1"/>
    <col min="3083" max="3088" width="9.140625" style="45" customWidth="1"/>
    <col min="3089" max="3089" width="2.42578125" style="45" customWidth="1"/>
    <col min="3090" max="3095" width="9.140625" style="45"/>
    <col min="3096" max="3096" width="4.85546875" style="45" customWidth="1"/>
    <col min="3097" max="3097" width="13.42578125" style="45" bestFit="1" customWidth="1"/>
    <col min="3098" max="3098" width="14.85546875" style="45" bestFit="1" customWidth="1"/>
    <col min="3099" max="3101" width="14.85546875" style="45" customWidth="1"/>
    <col min="3102" max="3102" width="10.85546875" style="45" bestFit="1" customWidth="1"/>
    <col min="3103" max="3103" width="9.140625" style="45"/>
    <col min="3104" max="3104" width="108.28515625" style="45" customWidth="1"/>
    <col min="3105" max="3323" width="9.140625" style="45"/>
    <col min="3324" max="3324" width="52.5703125" style="45" bestFit="1" customWidth="1"/>
    <col min="3325" max="3325" width="7.85546875" style="45" customWidth="1"/>
    <col min="3326" max="3330" width="9.140625" style="45" customWidth="1"/>
    <col min="3331" max="3331" width="2.42578125" style="45" customWidth="1"/>
    <col min="3332" max="3337" width="9.140625" style="45" customWidth="1"/>
    <col min="3338" max="3338" width="2.42578125" style="45" customWidth="1"/>
    <col min="3339" max="3344" width="9.140625" style="45" customWidth="1"/>
    <col min="3345" max="3345" width="2.42578125" style="45" customWidth="1"/>
    <col min="3346" max="3351" width="9.140625" style="45"/>
    <col min="3352" max="3352" width="4.85546875" style="45" customWidth="1"/>
    <col min="3353" max="3353" width="13.42578125" style="45" bestFit="1" customWidth="1"/>
    <col min="3354" max="3354" width="14.85546875" style="45" bestFit="1" customWidth="1"/>
    <col min="3355" max="3357" width="14.85546875" style="45" customWidth="1"/>
    <col min="3358" max="3358" width="10.85546875" style="45" bestFit="1" customWidth="1"/>
    <col min="3359" max="3359" width="9.140625" style="45"/>
    <col min="3360" max="3360" width="108.28515625" style="45" customWidth="1"/>
    <col min="3361" max="3579" width="9.140625" style="45"/>
    <col min="3580" max="3580" width="52.5703125" style="45" bestFit="1" customWidth="1"/>
    <col min="3581" max="3581" width="7.85546875" style="45" customWidth="1"/>
    <col min="3582" max="3586" width="9.140625" style="45" customWidth="1"/>
    <col min="3587" max="3587" width="2.42578125" style="45" customWidth="1"/>
    <col min="3588" max="3593" width="9.140625" style="45" customWidth="1"/>
    <col min="3594" max="3594" width="2.42578125" style="45" customWidth="1"/>
    <col min="3595" max="3600" width="9.140625" style="45" customWidth="1"/>
    <col min="3601" max="3601" width="2.42578125" style="45" customWidth="1"/>
    <col min="3602" max="3607" width="9.140625" style="45"/>
    <col min="3608" max="3608" width="4.85546875" style="45" customWidth="1"/>
    <col min="3609" max="3609" width="13.42578125" style="45" bestFit="1" customWidth="1"/>
    <col min="3610" max="3610" width="14.85546875" style="45" bestFit="1" customWidth="1"/>
    <col min="3611" max="3613" width="14.85546875" style="45" customWidth="1"/>
    <col min="3614" max="3614" width="10.85546875" style="45" bestFit="1" customWidth="1"/>
    <col min="3615" max="3615" width="9.140625" style="45"/>
    <col min="3616" max="3616" width="108.28515625" style="45" customWidth="1"/>
    <col min="3617" max="3835" width="9.140625" style="45"/>
    <col min="3836" max="3836" width="52.5703125" style="45" bestFit="1" customWidth="1"/>
    <col min="3837" max="3837" width="7.85546875" style="45" customWidth="1"/>
    <col min="3838" max="3842" width="9.140625" style="45" customWidth="1"/>
    <col min="3843" max="3843" width="2.42578125" style="45" customWidth="1"/>
    <col min="3844" max="3849" width="9.140625" style="45" customWidth="1"/>
    <col min="3850" max="3850" width="2.42578125" style="45" customWidth="1"/>
    <col min="3851" max="3856" width="9.140625" style="45" customWidth="1"/>
    <col min="3857" max="3857" width="2.42578125" style="45" customWidth="1"/>
    <col min="3858" max="3863" width="9.140625" style="45"/>
    <col min="3864" max="3864" width="4.85546875" style="45" customWidth="1"/>
    <col min="3865" max="3865" width="13.42578125" style="45" bestFit="1" customWidth="1"/>
    <col min="3866" max="3866" width="14.85546875" style="45" bestFit="1" customWidth="1"/>
    <col min="3867" max="3869" width="14.85546875" style="45" customWidth="1"/>
    <col min="3870" max="3870" width="10.85546875" style="45" bestFit="1" customWidth="1"/>
    <col min="3871" max="3871" width="9.140625" style="45"/>
    <col min="3872" max="3872" width="108.28515625" style="45" customWidth="1"/>
    <col min="3873" max="4091" width="9.140625" style="45"/>
    <col min="4092" max="4092" width="52.5703125" style="45" bestFit="1" customWidth="1"/>
    <col min="4093" max="4093" width="7.85546875" style="45" customWidth="1"/>
    <col min="4094" max="4098" width="9.140625" style="45" customWidth="1"/>
    <col min="4099" max="4099" width="2.42578125" style="45" customWidth="1"/>
    <col min="4100" max="4105" width="9.140625" style="45" customWidth="1"/>
    <col min="4106" max="4106" width="2.42578125" style="45" customWidth="1"/>
    <col min="4107" max="4112" width="9.140625" style="45" customWidth="1"/>
    <col min="4113" max="4113" width="2.42578125" style="45" customWidth="1"/>
    <col min="4114" max="4119" width="9.140625" style="45"/>
    <col min="4120" max="4120" width="4.85546875" style="45" customWidth="1"/>
    <col min="4121" max="4121" width="13.42578125" style="45" bestFit="1" customWidth="1"/>
    <col min="4122" max="4122" width="14.85546875" style="45" bestFit="1" customWidth="1"/>
    <col min="4123" max="4125" width="14.85546875" style="45" customWidth="1"/>
    <col min="4126" max="4126" width="10.85546875" style="45" bestFit="1" customWidth="1"/>
    <col min="4127" max="4127" width="9.140625" style="45"/>
    <col min="4128" max="4128" width="108.28515625" style="45" customWidth="1"/>
    <col min="4129" max="4347" width="9.140625" style="45"/>
    <col min="4348" max="4348" width="52.5703125" style="45" bestFit="1" customWidth="1"/>
    <col min="4349" max="4349" width="7.85546875" style="45" customWidth="1"/>
    <col min="4350" max="4354" width="9.140625" style="45" customWidth="1"/>
    <col min="4355" max="4355" width="2.42578125" style="45" customWidth="1"/>
    <col min="4356" max="4361" width="9.140625" style="45" customWidth="1"/>
    <col min="4362" max="4362" width="2.42578125" style="45" customWidth="1"/>
    <col min="4363" max="4368" width="9.140625" style="45" customWidth="1"/>
    <col min="4369" max="4369" width="2.42578125" style="45" customWidth="1"/>
    <col min="4370" max="4375" width="9.140625" style="45"/>
    <col min="4376" max="4376" width="4.85546875" style="45" customWidth="1"/>
    <col min="4377" max="4377" width="13.42578125" style="45" bestFit="1" customWidth="1"/>
    <col min="4378" max="4378" width="14.85546875" style="45" bestFit="1" customWidth="1"/>
    <col min="4379" max="4381" width="14.85546875" style="45" customWidth="1"/>
    <col min="4382" max="4382" width="10.85546875" style="45" bestFit="1" customWidth="1"/>
    <col min="4383" max="4383" width="9.140625" style="45"/>
    <col min="4384" max="4384" width="108.28515625" style="45" customWidth="1"/>
    <col min="4385" max="4603" width="9.140625" style="45"/>
    <col min="4604" max="4604" width="52.5703125" style="45" bestFit="1" customWidth="1"/>
    <col min="4605" max="4605" width="7.85546875" style="45" customWidth="1"/>
    <col min="4606" max="4610" width="9.140625" style="45" customWidth="1"/>
    <col min="4611" max="4611" width="2.42578125" style="45" customWidth="1"/>
    <col min="4612" max="4617" width="9.140625" style="45" customWidth="1"/>
    <col min="4618" max="4618" width="2.42578125" style="45" customWidth="1"/>
    <col min="4619" max="4624" width="9.140625" style="45" customWidth="1"/>
    <col min="4625" max="4625" width="2.42578125" style="45" customWidth="1"/>
    <col min="4626" max="4631" width="9.140625" style="45"/>
    <col min="4632" max="4632" width="4.85546875" style="45" customWidth="1"/>
    <col min="4633" max="4633" width="13.42578125" style="45" bestFit="1" customWidth="1"/>
    <col min="4634" max="4634" width="14.85546875" style="45" bestFit="1" customWidth="1"/>
    <col min="4635" max="4637" width="14.85546875" style="45" customWidth="1"/>
    <col min="4638" max="4638" width="10.85546875" style="45" bestFit="1" customWidth="1"/>
    <col min="4639" max="4639" width="9.140625" style="45"/>
    <col min="4640" max="4640" width="108.28515625" style="45" customWidth="1"/>
    <col min="4641" max="4859" width="9.140625" style="45"/>
    <col min="4860" max="4860" width="52.5703125" style="45" bestFit="1" customWidth="1"/>
    <col min="4861" max="4861" width="7.85546875" style="45" customWidth="1"/>
    <col min="4862" max="4866" width="9.140625" style="45" customWidth="1"/>
    <col min="4867" max="4867" width="2.42578125" style="45" customWidth="1"/>
    <col min="4868" max="4873" width="9.140625" style="45" customWidth="1"/>
    <col min="4874" max="4874" width="2.42578125" style="45" customWidth="1"/>
    <col min="4875" max="4880" width="9.140625" style="45" customWidth="1"/>
    <col min="4881" max="4881" width="2.42578125" style="45" customWidth="1"/>
    <col min="4882" max="4887" width="9.140625" style="45"/>
    <col min="4888" max="4888" width="4.85546875" style="45" customWidth="1"/>
    <col min="4889" max="4889" width="13.42578125" style="45" bestFit="1" customWidth="1"/>
    <col min="4890" max="4890" width="14.85546875" style="45" bestFit="1" customWidth="1"/>
    <col min="4891" max="4893" width="14.85546875" style="45" customWidth="1"/>
    <col min="4894" max="4894" width="10.85546875" style="45" bestFit="1" customWidth="1"/>
    <col min="4895" max="4895" width="9.140625" style="45"/>
    <col min="4896" max="4896" width="108.28515625" style="45" customWidth="1"/>
    <col min="4897" max="5115" width="9.140625" style="45"/>
    <col min="5116" max="5116" width="52.5703125" style="45" bestFit="1" customWidth="1"/>
    <col min="5117" max="5117" width="7.85546875" style="45" customWidth="1"/>
    <col min="5118" max="5122" width="9.140625" style="45" customWidth="1"/>
    <col min="5123" max="5123" width="2.42578125" style="45" customWidth="1"/>
    <col min="5124" max="5129" width="9.140625" style="45" customWidth="1"/>
    <col min="5130" max="5130" width="2.42578125" style="45" customWidth="1"/>
    <col min="5131" max="5136" width="9.140625" style="45" customWidth="1"/>
    <col min="5137" max="5137" width="2.42578125" style="45" customWidth="1"/>
    <col min="5138" max="5143" width="9.140625" style="45"/>
    <col min="5144" max="5144" width="4.85546875" style="45" customWidth="1"/>
    <col min="5145" max="5145" width="13.42578125" style="45" bestFit="1" customWidth="1"/>
    <col min="5146" max="5146" width="14.85546875" style="45" bestFit="1" customWidth="1"/>
    <col min="5147" max="5149" width="14.85546875" style="45" customWidth="1"/>
    <col min="5150" max="5150" width="10.85546875" style="45" bestFit="1" customWidth="1"/>
    <col min="5151" max="5151" width="9.140625" style="45"/>
    <col min="5152" max="5152" width="108.28515625" style="45" customWidth="1"/>
    <col min="5153" max="5371" width="9.140625" style="45"/>
    <col min="5372" max="5372" width="52.5703125" style="45" bestFit="1" customWidth="1"/>
    <col min="5373" max="5373" width="7.85546875" style="45" customWidth="1"/>
    <col min="5374" max="5378" width="9.140625" style="45" customWidth="1"/>
    <col min="5379" max="5379" width="2.42578125" style="45" customWidth="1"/>
    <col min="5380" max="5385" width="9.140625" style="45" customWidth="1"/>
    <col min="5386" max="5386" width="2.42578125" style="45" customWidth="1"/>
    <col min="5387" max="5392" width="9.140625" style="45" customWidth="1"/>
    <col min="5393" max="5393" width="2.42578125" style="45" customWidth="1"/>
    <col min="5394" max="5399" width="9.140625" style="45"/>
    <col min="5400" max="5400" width="4.85546875" style="45" customWidth="1"/>
    <col min="5401" max="5401" width="13.42578125" style="45" bestFit="1" customWidth="1"/>
    <col min="5402" max="5402" width="14.85546875" style="45" bestFit="1" customWidth="1"/>
    <col min="5403" max="5405" width="14.85546875" style="45" customWidth="1"/>
    <col min="5406" max="5406" width="10.85546875" style="45" bestFit="1" customWidth="1"/>
    <col min="5407" max="5407" width="9.140625" style="45"/>
    <col min="5408" max="5408" width="108.28515625" style="45" customWidth="1"/>
    <col min="5409" max="5627" width="9.140625" style="45"/>
    <col min="5628" max="5628" width="52.5703125" style="45" bestFit="1" customWidth="1"/>
    <col min="5629" max="5629" width="7.85546875" style="45" customWidth="1"/>
    <col min="5630" max="5634" width="9.140625" style="45" customWidth="1"/>
    <col min="5635" max="5635" width="2.42578125" style="45" customWidth="1"/>
    <col min="5636" max="5641" width="9.140625" style="45" customWidth="1"/>
    <col min="5642" max="5642" width="2.42578125" style="45" customWidth="1"/>
    <col min="5643" max="5648" width="9.140625" style="45" customWidth="1"/>
    <col min="5649" max="5649" width="2.42578125" style="45" customWidth="1"/>
    <col min="5650" max="5655" width="9.140625" style="45"/>
    <col min="5656" max="5656" width="4.85546875" style="45" customWidth="1"/>
    <col min="5657" max="5657" width="13.42578125" style="45" bestFit="1" customWidth="1"/>
    <col min="5658" max="5658" width="14.85546875" style="45" bestFit="1" customWidth="1"/>
    <col min="5659" max="5661" width="14.85546875" style="45" customWidth="1"/>
    <col min="5662" max="5662" width="10.85546875" style="45" bestFit="1" customWidth="1"/>
    <col min="5663" max="5663" width="9.140625" style="45"/>
    <col min="5664" max="5664" width="108.28515625" style="45" customWidth="1"/>
    <col min="5665" max="5883" width="9.140625" style="45"/>
    <col min="5884" max="5884" width="52.5703125" style="45" bestFit="1" customWidth="1"/>
    <col min="5885" max="5885" width="7.85546875" style="45" customWidth="1"/>
    <col min="5886" max="5890" width="9.140625" style="45" customWidth="1"/>
    <col min="5891" max="5891" width="2.42578125" style="45" customWidth="1"/>
    <col min="5892" max="5897" width="9.140625" style="45" customWidth="1"/>
    <col min="5898" max="5898" width="2.42578125" style="45" customWidth="1"/>
    <col min="5899" max="5904" width="9.140625" style="45" customWidth="1"/>
    <col min="5905" max="5905" width="2.42578125" style="45" customWidth="1"/>
    <col min="5906" max="5911" width="9.140625" style="45"/>
    <col min="5912" max="5912" width="4.85546875" style="45" customWidth="1"/>
    <col min="5913" max="5913" width="13.42578125" style="45" bestFit="1" customWidth="1"/>
    <col min="5914" max="5914" width="14.85546875" style="45" bestFit="1" customWidth="1"/>
    <col min="5915" max="5917" width="14.85546875" style="45" customWidth="1"/>
    <col min="5918" max="5918" width="10.85546875" style="45" bestFit="1" customWidth="1"/>
    <col min="5919" max="5919" width="9.140625" style="45"/>
    <col min="5920" max="5920" width="108.28515625" style="45" customWidth="1"/>
    <col min="5921" max="6139" width="9.140625" style="45"/>
    <col min="6140" max="6140" width="52.5703125" style="45" bestFit="1" customWidth="1"/>
    <col min="6141" max="6141" width="7.85546875" style="45" customWidth="1"/>
    <col min="6142" max="6146" width="9.140625" style="45" customWidth="1"/>
    <col min="6147" max="6147" width="2.42578125" style="45" customWidth="1"/>
    <col min="6148" max="6153" width="9.140625" style="45" customWidth="1"/>
    <col min="6154" max="6154" width="2.42578125" style="45" customWidth="1"/>
    <col min="6155" max="6160" width="9.140625" style="45" customWidth="1"/>
    <col min="6161" max="6161" width="2.42578125" style="45" customWidth="1"/>
    <col min="6162" max="6167" width="9.140625" style="45"/>
    <col min="6168" max="6168" width="4.85546875" style="45" customWidth="1"/>
    <col min="6169" max="6169" width="13.42578125" style="45" bestFit="1" customWidth="1"/>
    <col min="6170" max="6170" width="14.85546875" style="45" bestFit="1" customWidth="1"/>
    <col min="6171" max="6173" width="14.85546875" style="45" customWidth="1"/>
    <col min="6174" max="6174" width="10.85546875" style="45" bestFit="1" customWidth="1"/>
    <col min="6175" max="6175" width="9.140625" style="45"/>
    <col min="6176" max="6176" width="108.28515625" style="45" customWidth="1"/>
    <col min="6177" max="6395" width="9.140625" style="45"/>
    <col min="6396" max="6396" width="52.5703125" style="45" bestFit="1" customWidth="1"/>
    <col min="6397" max="6397" width="7.85546875" style="45" customWidth="1"/>
    <col min="6398" max="6402" width="9.140625" style="45" customWidth="1"/>
    <col min="6403" max="6403" width="2.42578125" style="45" customWidth="1"/>
    <col min="6404" max="6409" width="9.140625" style="45" customWidth="1"/>
    <col min="6410" max="6410" width="2.42578125" style="45" customWidth="1"/>
    <col min="6411" max="6416" width="9.140625" style="45" customWidth="1"/>
    <col min="6417" max="6417" width="2.42578125" style="45" customWidth="1"/>
    <col min="6418" max="6423" width="9.140625" style="45"/>
    <col min="6424" max="6424" width="4.85546875" style="45" customWidth="1"/>
    <col min="6425" max="6425" width="13.42578125" style="45" bestFit="1" customWidth="1"/>
    <col min="6426" max="6426" width="14.85546875" style="45" bestFit="1" customWidth="1"/>
    <col min="6427" max="6429" width="14.85546875" style="45" customWidth="1"/>
    <col min="6430" max="6430" width="10.85546875" style="45" bestFit="1" customWidth="1"/>
    <col min="6431" max="6431" width="9.140625" style="45"/>
    <col min="6432" max="6432" width="108.28515625" style="45" customWidth="1"/>
    <col min="6433" max="6651" width="9.140625" style="45"/>
    <col min="6652" max="6652" width="52.5703125" style="45" bestFit="1" customWidth="1"/>
    <col min="6653" max="6653" width="7.85546875" style="45" customWidth="1"/>
    <col min="6654" max="6658" width="9.140625" style="45" customWidth="1"/>
    <col min="6659" max="6659" width="2.42578125" style="45" customWidth="1"/>
    <col min="6660" max="6665" width="9.140625" style="45" customWidth="1"/>
    <col min="6666" max="6666" width="2.42578125" style="45" customWidth="1"/>
    <col min="6667" max="6672" width="9.140625" style="45" customWidth="1"/>
    <col min="6673" max="6673" width="2.42578125" style="45" customWidth="1"/>
    <col min="6674" max="6679" width="9.140625" style="45"/>
    <col min="6680" max="6680" width="4.85546875" style="45" customWidth="1"/>
    <col min="6681" max="6681" width="13.42578125" style="45" bestFit="1" customWidth="1"/>
    <col min="6682" max="6682" width="14.85546875" style="45" bestFit="1" customWidth="1"/>
    <col min="6683" max="6685" width="14.85546875" style="45" customWidth="1"/>
    <col min="6686" max="6686" width="10.85546875" style="45" bestFit="1" customWidth="1"/>
    <col min="6687" max="6687" width="9.140625" style="45"/>
    <col min="6688" max="6688" width="108.28515625" style="45" customWidth="1"/>
    <col min="6689" max="6907" width="9.140625" style="45"/>
    <col min="6908" max="6908" width="52.5703125" style="45" bestFit="1" customWidth="1"/>
    <col min="6909" max="6909" width="7.85546875" style="45" customWidth="1"/>
    <col min="6910" max="6914" width="9.140625" style="45" customWidth="1"/>
    <col min="6915" max="6915" width="2.42578125" style="45" customWidth="1"/>
    <col min="6916" max="6921" width="9.140625" style="45" customWidth="1"/>
    <col min="6922" max="6922" width="2.42578125" style="45" customWidth="1"/>
    <col min="6923" max="6928" width="9.140625" style="45" customWidth="1"/>
    <col min="6929" max="6929" width="2.42578125" style="45" customWidth="1"/>
    <col min="6930" max="6935" width="9.140625" style="45"/>
    <col min="6936" max="6936" width="4.85546875" style="45" customWidth="1"/>
    <col min="6937" max="6937" width="13.42578125" style="45" bestFit="1" customWidth="1"/>
    <col min="6938" max="6938" width="14.85546875" style="45" bestFit="1" customWidth="1"/>
    <col min="6939" max="6941" width="14.85546875" style="45" customWidth="1"/>
    <col min="6942" max="6942" width="10.85546875" style="45" bestFit="1" customWidth="1"/>
    <col min="6943" max="6943" width="9.140625" style="45"/>
    <col min="6944" max="6944" width="108.28515625" style="45" customWidth="1"/>
    <col min="6945" max="7163" width="9.140625" style="45"/>
    <col min="7164" max="7164" width="52.5703125" style="45" bestFit="1" customWidth="1"/>
    <col min="7165" max="7165" width="7.85546875" style="45" customWidth="1"/>
    <col min="7166" max="7170" width="9.140625" style="45" customWidth="1"/>
    <col min="7171" max="7171" width="2.42578125" style="45" customWidth="1"/>
    <col min="7172" max="7177" width="9.140625" style="45" customWidth="1"/>
    <col min="7178" max="7178" width="2.42578125" style="45" customWidth="1"/>
    <col min="7179" max="7184" width="9.140625" style="45" customWidth="1"/>
    <col min="7185" max="7185" width="2.42578125" style="45" customWidth="1"/>
    <col min="7186" max="7191" width="9.140625" style="45"/>
    <col min="7192" max="7192" width="4.85546875" style="45" customWidth="1"/>
    <col min="7193" max="7193" width="13.42578125" style="45" bestFit="1" customWidth="1"/>
    <col min="7194" max="7194" width="14.85546875" style="45" bestFit="1" customWidth="1"/>
    <col min="7195" max="7197" width="14.85546875" style="45" customWidth="1"/>
    <col min="7198" max="7198" width="10.85546875" style="45" bestFit="1" customWidth="1"/>
    <col min="7199" max="7199" width="9.140625" style="45"/>
    <col min="7200" max="7200" width="108.28515625" style="45" customWidth="1"/>
    <col min="7201" max="7419" width="9.140625" style="45"/>
    <col min="7420" max="7420" width="52.5703125" style="45" bestFit="1" customWidth="1"/>
    <col min="7421" max="7421" width="7.85546875" style="45" customWidth="1"/>
    <col min="7422" max="7426" width="9.140625" style="45" customWidth="1"/>
    <col min="7427" max="7427" width="2.42578125" style="45" customWidth="1"/>
    <col min="7428" max="7433" width="9.140625" style="45" customWidth="1"/>
    <col min="7434" max="7434" width="2.42578125" style="45" customWidth="1"/>
    <col min="7435" max="7440" width="9.140625" style="45" customWidth="1"/>
    <col min="7441" max="7441" width="2.42578125" style="45" customWidth="1"/>
    <col min="7442" max="7447" width="9.140625" style="45"/>
    <col min="7448" max="7448" width="4.85546875" style="45" customWidth="1"/>
    <col min="7449" max="7449" width="13.42578125" style="45" bestFit="1" customWidth="1"/>
    <col min="7450" max="7450" width="14.85546875" style="45" bestFit="1" customWidth="1"/>
    <col min="7451" max="7453" width="14.85546875" style="45" customWidth="1"/>
    <col min="7454" max="7454" width="10.85546875" style="45" bestFit="1" customWidth="1"/>
    <col min="7455" max="7455" width="9.140625" style="45"/>
    <col min="7456" max="7456" width="108.28515625" style="45" customWidth="1"/>
    <col min="7457" max="7675" width="9.140625" style="45"/>
    <col min="7676" max="7676" width="52.5703125" style="45" bestFit="1" customWidth="1"/>
    <col min="7677" max="7677" width="7.85546875" style="45" customWidth="1"/>
    <col min="7678" max="7682" width="9.140625" style="45" customWidth="1"/>
    <col min="7683" max="7683" width="2.42578125" style="45" customWidth="1"/>
    <col min="7684" max="7689" width="9.140625" style="45" customWidth="1"/>
    <col min="7690" max="7690" width="2.42578125" style="45" customWidth="1"/>
    <col min="7691" max="7696" width="9.140625" style="45" customWidth="1"/>
    <col min="7697" max="7697" width="2.42578125" style="45" customWidth="1"/>
    <col min="7698" max="7703" width="9.140625" style="45"/>
    <col min="7704" max="7704" width="4.85546875" style="45" customWidth="1"/>
    <col min="7705" max="7705" width="13.42578125" style="45" bestFit="1" customWidth="1"/>
    <col min="7706" max="7706" width="14.85546875" style="45" bestFit="1" customWidth="1"/>
    <col min="7707" max="7709" width="14.85546875" style="45" customWidth="1"/>
    <col min="7710" max="7710" width="10.85546875" style="45" bestFit="1" customWidth="1"/>
    <col min="7711" max="7711" width="9.140625" style="45"/>
    <col min="7712" max="7712" width="108.28515625" style="45" customWidth="1"/>
    <col min="7713" max="7931" width="9.140625" style="45"/>
    <col min="7932" max="7932" width="52.5703125" style="45" bestFit="1" customWidth="1"/>
    <col min="7933" max="7933" width="7.85546875" style="45" customWidth="1"/>
    <col min="7934" max="7938" width="9.140625" style="45" customWidth="1"/>
    <col min="7939" max="7939" width="2.42578125" style="45" customWidth="1"/>
    <col min="7940" max="7945" width="9.140625" style="45" customWidth="1"/>
    <col min="7946" max="7946" width="2.42578125" style="45" customWidth="1"/>
    <col min="7947" max="7952" width="9.140625" style="45" customWidth="1"/>
    <col min="7953" max="7953" width="2.42578125" style="45" customWidth="1"/>
    <col min="7954" max="7959" width="9.140625" style="45"/>
    <col min="7960" max="7960" width="4.85546875" style="45" customWidth="1"/>
    <col min="7961" max="7961" width="13.42578125" style="45" bestFit="1" customWidth="1"/>
    <col min="7962" max="7962" width="14.85546875" style="45" bestFit="1" customWidth="1"/>
    <col min="7963" max="7965" width="14.85546875" style="45" customWidth="1"/>
    <col min="7966" max="7966" width="10.85546875" style="45" bestFit="1" customWidth="1"/>
    <col min="7967" max="7967" width="9.140625" style="45"/>
    <col min="7968" max="7968" width="108.28515625" style="45" customWidth="1"/>
    <col min="7969" max="8187" width="9.140625" style="45"/>
    <col min="8188" max="8188" width="52.5703125" style="45" bestFit="1" customWidth="1"/>
    <col min="8189" max="8189" width="7.85546875" style="45" customWidth="1"/>
    <col min="8190" max="8194" width="9.140625" style="45" customWidth="1"/>
    <col min="8195" max="8195" width="2.42578125" style="45" customWidth="1"/>
    <col min="8196" max="8201" width="9.140625" style="45" customWidth="1"/>
    <col min="8202" max="8202" width="2.42578125" style="45" customWidth="1"/>
    <col min="8203" max="8208" width="9.140625" style="45" customWidth="1"/>
    <col min="8209" max="8209" width="2.42578125" style="45" customWidth="1"/>
    <col min="8210" max="8215" width="9.140625" style="45"/>
    <col min="8216" max="8216" width="4.85546875" style="45" customWidth="1"/>
    <col min="8217" max="8217" width="13.42578125" style="45" bestFit="1" customWidth="1"/>
    <col min="8218" max="8218" width="14.85546875" style="45" bestFit="1" customWidth="1"/>
    <col min="8219" max="8221" width="14.85546875" style="45" customWidth="1"/>
    <col min="8222" max="8222" width="10.85546875" style="45" bestFit="1" customWidth="1"/>
    <col min="8223" max="8223" width="9.140625" style="45"/>
    <col min="8224" max="8224" width="108.28515625" style="45" customWidth="1"/>
    <col min="8225" max="8443" width="9.140625" style="45"/>
    <col min="8444" max="8444" width="52.5703125" style="45" bestFit="1" customWidth="1"/>
    <col min="8445" max="8445" width="7.85546875" style="45" customWidth="1"/>
    <col min="8446" max="8450" width="9.140625" style="45" customWidth="1"/>
    <col min="8451" max="8451" width="2.42578125" style="45" customWidth="1"/>
    <col min="8452" max="8457" width="9.140625" style="45" customWidth="1"/>
    <col min="8458" max="8458" width="2.42578125" style="45" customWidth="1"/>
    <col min="8459" max="8464" width="9.140625" style="45" customWidth="1"/>
    <col min="8465" max="8465" width="2.42578125" style="45" customWidth="1"/>
    <col min="8466" max="8471" width="9.140625" style="45"/>
    <col min="8472" max="8472" width="4.85546875" style="45" customWidth="1"/>
    <col min="8473" max="8473" width="13.42578125" style="45" bestFit="1" customWidth="1"/>
    <col min="8474" max="8474" width="14.85546875" style="45" bestFit="1" customWidth="1"/>
    <col min="8475" max="8477" width="14.85546875" style="45" customWidth="1"/>
    <col min="8478" max="8478" width="10.85546875" style="45" bestFit="1" customWidth="1"/>
    <col min="8479" max="8479" width="9.140625" style="45"/>
    <col min="8480" max="8480" width="108.28515625" style="45" customWidth="1"/>
    <col min="8481" max="8699" width="9.140625" style="45"/>
    <col min="8700" max="8700" width="52.5703125" style="45" bestFit="1" customWidth="1"/>
    <col min="8701" max="8701" width="7.85546875" style="45" customWidth="1"/>
    <col min="8702" max="8706" width="9.140625" style="45" customWidth="1"/>
    <col min="8707" max="8707" width="2.42578125" style="45" customWidth="1"/>
    <col min="8708" max="8713" width="9.140625" style="45" customWidth="1"/>
    <col min="8714" max="8714" width="2.42578125" style="45" customWidth="1"/>
    <col min="8715" max="8720" width="9.140625" style="45" customWidth="1"/>
    <col min="8721" max="8721" width="2.42578125" style="45" customWidth="1"/>
    <col min="8722" max="8727" width="9.140625" style="45"/>
    <col min="8728" max="8728" width="4.85546875" style="45" customWidth="1"/>
    <col min="8729" max="8729" width="13.42578125" style="45" bestFit="1" customWidth="1"/>
    <col min="8730" max="8730" width="14.85546875" style="45" bestFit="1" customWidth="1"/>
    <col min="8731" max="8733" width="14.85546875" style="45" customWidth="1"/>
    <col min="8734" max="8734" width="10.85546875" style="45" bestFit="1" customWidth="1"/>
    <col min="8735" max="8735" width="9.140625" style="45"/>
    <col min="8736" max="8736" width="108.28515625" style="45" customWidth="1"/>
    <col min="8737" max="8955" width="9.140625" style="45"/>
    <col min="8956" max="8956" width="52.5703125" style="45" bestFit="1" customWidth="1"/>
    <col min="8957" max="8957" width="7.85546875" style="45" customWidth="1"/>
    <col min="8958" max="8962" width="9.140625" style="45" customWidth="1"/>
    <col min="8963" max="8963" width="2.42578125" style="45" customWidth="1"/>
    <col min="8964" max="8969" width="9.140625" style="45" customWidth="1"/>
    <col min="8970" max="8970" width="2.42578125" style="45" customWidth="1"/>
    <col min="8971" max="8976" width="9.140625" style="45" customWidth="1"/>
    <col min="8977" max="8977" width="2.42578125" style="45" customWidth="1"/>
    <col min="8978" max="8983" width="9.140625" style="45"/>
    <col min="8984" max="8984" width="4.85546875" style="45" customWidth="1"/>
    <col min="8985" max="8985" width="13.42578125" style="45" bestFit="1" customWidth="1"/>
    <col min="8986" max="8986" width="14.85546875" style="45" bestFit="1" customWidth="1"/>
    <col min="8987" max="8989" width="14.85546875" style="45" customWidth="1"/>
    <col min="8990" max="8990" width="10.85546875" style="45" bestFit="1" customWidth="1"/>
    <col min="8991" max="8991" width="9.140625" style="45"/>
    <col min="8992" max="8992" width="108.28515625" style="45" customWidth="1"/>
    <col min="8993" max="9211" width="9.140625" style="45"/>
    <col min="9212" max="9212" width="52.5703125" style="45" bestFit="1" customWidth="1"/>
    <col min="9213" max="9213" width="7.85546875" style="45" customWidth="1"/>
    <col min="9214" max="9218" width="9.140625" style="45" customWidth="1"/>
    <col min="9219" max="9219" width="2.42578125" style="45" customWidth="1"/>
    <col min="9220" max="9225" width="9.140625" style="45" customWidth="1"/>
    <col min="9226" max="9226" width="2.42578125" style="45" customWidth="1"/>
    <col min="9227" max="9232" width="9.140625" style="45" customWidth="1"/>
    <col min="9233" max="9233" width="2.42578125" style="45" customWidth="1"/>
    <col min="9234" max="9239" width="9.140625" style="45"/>
    <col min="9240" max="9240" width="4.85546875" style="45" customWidth="1"/>
    <col min="9241" max="9241" width="13.42578125" style="45" bestFit="1" customWidth="1"/>
    <col min="9242" max="9242" width="14.85546875" style="45" bestFit="1" customWidth="1"/>
    <col min="9243" max="9245" width="14.85546875" style="45" customWidth="1"/>
    <col min="9246" max="9246" width="10.85546875" style="45" bestFit="1" customWidth="1"/>
    <col min="9247" max="9247" width="9.140625" style="45"/>
    <col min="9248" max="9248" width="108.28515625" style="45" customWidth="1"/>
    <col min="9249" max="9467" width="9.140625" style="45"/>
    <col min="9468" max="9468" width="52.5703125" style="45" bestFit="1" customWidth="1"/>
    <col min="9469" max="9469" width="7.85546875" style="45" customWidth="1"/>
    <col min="9470" max="9474" width="9.140625" style="45" customWidth="1"/>
    <col min="9475" max="9475" width="2.42578125" style="45" customWidth="1"/>
    <col min="9476" max="9481" width="9.140625" style="45" customWidth="1"/>
    <col min="9482" max="9482" width="2.42578125" style="45" customWidth="1"/>
    <col min="9483" max="9488" width="9.140625" style="45" customWidth="1"/>
    <col min="9489" max="9489" width="2.42578125" style="45" customWidth="1"/>
    <col min="9490" max="9495" width="9.140625" style="45"/>
    <col min="9496" max="9496" width="4.85546875" style="45" customWidth="1"/>
    <col min="9497" max="9497" width="13.42578125" style="45" bestFit="1" customWidth="1"/>
    <col min="9498" max="9498" width="14.85546875" style="45" bestFit="1" customWidth="1"/>
    <col min="9499" max="9501" width="14.85546875" style="45" customWidth="1"/>
    <col min="9502" max="9502" width="10.85546875" style="45" bestFit="1" customWidth="1"/>
    <col min="9503" max="9503" width="9.140625" style="45"/>
    <col min="9504" max="9504" width="108.28515625" style="45" customWidth="1"/>
    <col min="9505" max="9723" width="9.140625" style="45"/>
    <col min="9724" max="9724" width="52.5703125" style="45" bestFit="1" customWidth="1"/>
    <col min="9725" max="9725" width="7.85546875" style="45" customWidth="1"/>
    <col min="9726" max="9730" width="9.140625" style="45" customWidth="1"/>
    <col min="9731" max="9731" width="2.42578125" style="45" customWidth="1"/>
    <col min="9732" max="9737" width="9.140625" style="45" customWidth="1"/>
    <col min="9738" max="9738" width="2.42578125" style="45" customWidth="1"/>
    <col min="9739" max="9744" width="9.140625" style="45" customWidth="1"/>
    <col min="9745" max="9745" width="2.42578125" style="45" customWidth="1"/>
    <col min="9746" max="9751" width="9.140625" style="45"/>
    <col min="9752" max="9752" width="4.85546875" style="45" customWidth="1"/>
    <col min="9753" max="9753" width="13.42578125" style="45" bestFit="1" customWidth="1"/>
    <col min="9754" max="9754" width="14.85546875" style="45" bestFit="1" customWidth="1"/>
    <col min="9755" max="9757" width="14.85546875" style="45" customWidth="1"/>
    <col min="9758" max="9758" width="10.85546875" style="45" bestFit="1" customWidth="1"/>
    <col min="9759" max="9759" width="9.140625" style="45"/>
    <col min="9760" max="9760" width="108.28515625" style="45" customWidth="1"/>
    <col min="9761" max="9979" width="9.140625" style="45"/>
    <col min="9980" max="9980" width="52.5703125" style="45" bestFit="1" customWidth="1"/>
    <col min="9981" max="9981" width="7.85546875" style="45" customWidth="1"/>
    <col min="9982" max="9986" width="9.140625" style="45" customWidth="1"/>
    <col min="9987" max="9987" width="2.42578125" style="45" customWidth="1"/>
    <col min="9988" max="9993" width="9.140625" style="45" customWidth="1"/>
    <col min="9994" max="9994" width="2.42578125" style="45" customWidth="1"/>
    <col min="9995" max="10000" width="9.140625" style="45" customWidth="1"/>
    <col min="10001" max="10001" width="2.42578125" style="45" customWidth="1"/>
    <col min="10002" max="10007" width="9.140625" style="45"/>
    <col min="10008" max="10008" width="4.85546875" style="45" customWidth="1"/>
    <col min="10009" max="10009" width="13.42578125" style="45" bestFit="1" customWidth="1"/>
    <col min="10010" max="10010" width="14.85546875" style="45" bestFit="1" customWidth="1"/>
    <col min="10011" max="10013" width="14.85546875" style="45" customWidth="1"/>
    <col min="10014" max="10014" width="10.85546875" style="45" bestFit="1" customWidth="1"/>
    <col min="10015" max="10015" width="9.140625" style="45"/>
    <col min="10016" max="10016" width="108.28515625" style="45" customWidth="1"/>
    <col min="10017" max="10235" width="9.140625" style="45"/>
    <col min="10236" max="10236" width="52.5703125" style="45" bestFit="1" customWidth="1"/>
    <col min="10237" max="10237" width="7.85546875" style="45" customWidth="1"/>
    <col min="10238" max="10242" width="9.140625" style="45" customWidth="1"/>
    <col min="10243" max="10243" width="2.42578125" style="45" customWidth="1"/>
    <col min="10244" max="10249" width="9.140625" style="45" customWidth="1"/>
    <col min="10250" max="10250" width="2.42578125" style="45" customWidth="1"/>
    <col min="10251" max="10256" width="9.140625" style="45" customWidth="1"/>
    <col min="10257" max="10257" width="2.42578125" style="45" customWidth="1"/>
    <col min="10258" max="10263" width="9.140625" style="45"/>
    <col min="10264" max="10264" width="4.85546875" style="45" customWidth="1"/>
    <col min="10265" max="10265" width="13.42578125" style="45" bestFit="1" customWidth="1"/>
    <col min="10266" max="10266" width="14.85546875" style="45" bestFit="1" customWidth="1"/>
    <col min="10267" max="10269" width="14.85546875" style="45" customWidth="1"/>
    <col min="10270" max="10270" width="10.85546875" style="45" bestFit="1" customWidth="1"/>
    <col min="10271" max="10271" width="9.140625" style="45"/>
    <col min="10272" max="10272" width="108.28515625" style="45" customWidth="1"/>
    <col min="10273" max="10491" width="9.140625" style="45"/>
    <col min="10492" max="10492" width="52.5703125" style="45" bestFit="1" customWidth="1"/>
    <col min="10493" max="10493" width="7.85546875" style="45" customWidth="1"/>
    <col min="10494" max="10498" width="9.140625" style="45" customWidth="1"/>
    <col min="10499" max="10499" width="2.42578125" style="45" customWidth="1"/>
    <col min="10500" max="10505" width="9.140625" style="45" customWidth="1"/>
    <col min="10506" max="10506" width="2.42578125" style="45" customWidth="1"/>
    <col min="10507" max="10512" width="9.140625" style="45" customWidth="1"/>
    <col min="10513" max="10513" width="2.42578125" style="45" customWidth="1"/>
    <col min="10514" max="10519" width="9.140625" style="45"/>
    <col min="10520" max="10520" width="4.85546875" style="45" customWidth="1"/>
    <col min="10521" max="10521" width="13.42578125" style="45" bestFit="1" customWidth="1"/>
    <col min="10522" max="10522" width="14.85546875" style="45" bestFit="1" customWidth="1"/>
    <col min="10523" max="10525" width="14.85546875" style="45" customWidth="1"/>
    <col min="10526" max="10526" width="10.85546875" style="45" bestFit="1" customWidth="1"/>
    <col min="10527" max="10527" width="9.140625" style="45"/>
    <col min="10528" max="10528" width="108.28515625" style="45" customWidth="1"/>
    <col min="10529" max="10747" width="9.140625" style="45"/>
    <col min="10748" max="10748" width="52.5703125" style="45" bestFit="1" customWidth="1"/>
    <col min="10749" max="10749" width="7.85546875" style="45" customWidth="1"/>
    <col min="10750" max="10754" width="9.140625" style="45" customWidth="1"/>
    <col min="10755" max="10755" width="2.42578125" style="45" customWidth="1"/>
    <col min="10756" max="10761" width="9.140625" style="45" customWidth="1"/>
    <col min="10762" max="10762" width="2.42578125" style="45" customWidth="1"/>
    <col min="10763" max="10768" width="9.140625" style="45" customWidth="1"/>
    <col min="10769" max="10769" width="2.42578125" style="45" customWidth="1"/>
    <col min="10770" max="10775" width="9.140625" style="45"/>
    <col min="10776" max="10776" width="4.85546875" style="45" customWidth="1"/>
    <col min="10777" max="10777" width="13.42578125" style="45" bestFit="1" customWidth="1"/>
    <col min="10778" max="10778" width="14.85546875" style="45" bestFit="1" customWidth="1"/>
    <col min="10779" max="10781" width="14.85546875" style="45" customWidth="1"/>
    <col min="10782" max="10782" width="10.85546875" style="45" bestFit="1" customWidth="1"/>
    <col min="10783" max="10783" width="9.140625" style="45"/>
    <col min="10784" max="10784" width="108.28515625" style="45" customWidth="1"/>
    <col min="10785" max="11003" width="9.140625" style="45"/>
    <col min="11004" max="11004" width="52.5703125" style="45" bestFit="1" customWidth="1"/>
    <col min="11005" max="11005" width="7.85546875" style="45" customWidth="1"/>
    <col min="11006" max="11010" width="9.140625" style="45" customWidth="1"/>
    <col min="11011" max="11011" width="2.42578125" style="45" customWidth="1"/>
    <col min="11012" max="11017" width="9.140625" style="45" customWidth="1"/>
    <col min="11018" max="11018" width="2.42578125" style="45" customWidth="1"/>
    <col min="11019" max="11024" width="9.140625" style="45" customWidth="1"/>
    <col min="11025" max="11025" width="2.42578125" style="45" customWidth="1"/>
    <col min="11026" max="11031" width="9.140625" style="45"/>
    <col min="11032" max="11032" width="4.85546875" style="45" customWidth="1"/>
    <col min="11033" max="11033" width="13.42578125" style="45" bestFit="1" customWidth="1"/>
    <col min="11034" max="11034" width="14.85546875" style="45" bestFit="1" customWidth="1"/>
    <col min="11035" max="11037" width="14.85546875" style="45" customWidth="1"/>
    <col min="11038" max="11038" width="10.85546875" style="45" bestFit="1" customWidth="1"/>
    <col min="11039" max="11039" width="9.140625" style="45"/>
    <col min="11040" max="11040" width="108.28515625" style="45" customWidth="1"/>
    <col min="11041" max="11259" width="9.140625" style="45"/>
    <col min="11260" max="11260" width="52.5703125" style="45" bestFit="1" customWidth="1"/>
    <col min="11261" max="11261" width="7.85546875" style="45" customWidth="1"/>
    <col min="11262" max="11266" width="9.140625" style="45" customWidth="1"/>
    <col min="11267" max="11267" width="2.42578125" style="45" customWidth="1"/>
    <col min="11268" max="11273" width="9.140625" style="45" customWidth="1"/>
    <col min="11274" max="11274" width="2.42578125" style="45" customWidth="1"/>
    <col min="11275" max="11280" width="9.140625" style="45" customWidth="1"/>
    <col min="11281" max="11281" width="2.42578125" style="45" customWidth="1"/>
    <col min="11282" max="11287" width="9.140625" style="45"/>
    <col min="11288" max="11288" width="4.85546875" style="45" customWidth="1"/>
    <col min="11289" max="11289" width="13.42578125" style="45" bestFit="1" customWidth="1"/>
    <col min="11290" max="11290" width="14.85546875" style="45" bestFit="1" customWidth="1"/>
    <col min="11291" max="11293" width="14.85546875" style="45" customWidth="1"/>
    <col min="11294" max="11294" width="10.85546875" style="45" bestFit="1" customWidth="1"/>
    <col min="11295" max="11295" width="9.140625" style="45"/>
    <col min="11296" max="11296" width="108.28515625" style="45" customWidth="1"/>
    <col min="11297" max="11515" width="9.140625" style="45"/>
    <col min="11516" max="11516" width="52.5703125" style="45" bestFit="1" customWidth="1"/>
    <col min="11517" max="11517" width="7.85546875" style="45" customWidth="1"/>
    <col min="11518" max="11522" width="9.140625" style="45" customWidth="1"/>
    <col min="11523" max="11523" width="2.42578125" style="45" customWidth="1"/>
    <col min="11524" max="11529" width="9.140625" style="45" customWidth="1"/>
    <col min="11530" max="11530" width="2.42578125" style="45" customWidth="1"/>
    <col min="11531" max="11536" width="9.140625" style="45" customWidth="1"/>
    <col min="11537" max="11537" width="2.42578125" style="45" customWidth="1"/>
    <col min="11538" max="11543" width="9.140625" style="45"/>
    <col min="11544" max="11544" width="4.85546875" style="45" customWidth="1"/>
    <col min="11545" max="11545" width="13.42578125" style="45" bestFit="1" customWidth="1"/>
    <col min="11546" max="11546" width="14.85546875" style="45" bestFit="1" customWidth="1"/>
    <col min="11547" max="11549" width="14.85546875" style="45" customWidth="1"/>
    <col min="11550" max="11550" width="10.85546875" style="45" bestFit="1" customWidth="1"/>
    <col min="11551" max="11551" width="9.140625" style="45"/>
    <col min="11552" max="11552" width="108.28515625" style="45" customWidth="1"/>
    <col min="11553" max="11771" width="9.140625" style="45"/>
    <col min="11772" max="11772" width="52.5703125" style="45" bestFit="1" customWidth="1"/>
    <col min="11773" max="11773" width="7.85546875" style="45" customWidth="1"/>
    <col min="11774" max="11778" width="9.140625" style="45" customWidth="1"/>
    <col min="11779" max="11779" width="2.42578125" style="45" customWidth="1"/>
    <col min="11780" max="11785" width="9.140625" style="45" customWidth="1"/>
    <col min="11786" max="11786" width="2.42578125" style="45" customWidth="1"/>
    <col min="11787" max="11792" width="9.140625" style="45" customWidth="1"/>
    <col min="11793" max="11793" width="2.42578125" style="45" customWidth="1"/>
    <col min="11794" max="11799" width="9.140625" style="45"/>
    <col min="11800" max="11800" width="4.85546875" style="45" customWidth="1"/>
    <col min="11801" max="11801" width="13.42578125" style="45" bestFit="1" customWidth="1"/>
    <col min="11802" max="11802" width="14.85546875" style="45" bestFit="1" customWidth="1"/>
    <col min="11803" max="11805" width="14.85546875" style="45" customWidth="1"/>
    <col min="11806" max="11806" width="10.85546875" style="45" bestFit="1" customWidth="1"/>
    <col min="11807" max="11807" width="9.140625" style="45"/>
    <col min="11808" max="11808" width="108.28515625" style="45" customWidth="1"/>
    <col min="11809" max="12027" width="9.140625" style="45"/>
    <col min="12028" max="12028" width="52.5703125" style="45" bestFit="1" customWidth="1"/>
    <col min="12029" max="12029" width="7.85546875" style="45" customWidth="1"/>
    <col min="12030" max="12034" width="9.140625" style="45" customWidth="1"/>
    <col min="12035" max="12035" width="2.42578125" style="45" customWidth="1"/>
    <col min="12036" max="12041" width="9.140625" style="45" customWidth="1"/>
    <col min="12042" max="12042" width="2.42578125" style="45" customWidth="1"/>
    <col min="12043" max="12048" width="9.140625" style="45" customWidth="1"/>
    <col min="12049" max="12049" width="2.42578125" style="45" customWidth="1"/>
    <col min="12050" max="12055" width="9.140625" style="45"/>
    <col min="12056" max="12056" width="4.85546875" style="45" customWidth="1"/>
    <col min="12057" max="12057" width="13.42578125" style="45" bestFit="1" customWidth="1"/>
    <col min="12058" max="12058" width="14.85546875" style="45" bestFit="1" customWidth="1"/>
    <col min="12059" max="12061" width="14.85546875" style="45" customWidth="1"/>
    <col min="12062" max="12062" width="10.85546875" style="45" bestFit="1" customWidth="1"/>
    <col min="12063" max="12063" width="9.140625" style="45"/>
    <col min="12064" max="12064" width="108.28515625" style="45" customWidth="1"/>
    <col min="12065" max="12283" width="9.140625" style="45"/>
    <col min="12284" max="12284" width="52.5703125" style="45" bestFit="1" customWidth="1"/>
    <col min="12285" max="12285" width="7.85546875" style="45" customWidth="1"/>
    <col min="12286" max="12290" width="9.140625" style="45" customWidth="1"/>
    <col min="12291" max="12291" width="2.42578125" style="45" customWidth="1"/>
    <col min="12292" max="12297" width="9.140625" style="45" customWidth="1"/>
    <col min="12298" max="12298" width="2.42578125" style="45" customWidth="1"/>
    <col min="12299" max="12304" width="9.140625" style="45" customWidth="1"/>
    <col min="12305" max="12305" width="2.42578125" style="45" customWidth="1"/>
    <col min="12306" max="12311" width="9.140625" style="45"/>
    <col min="12312" max="12312" width="4.85546875" style="45" customWidth="1"/>
    <col min="12313" max="12313" width="13.42578125" style="45" bestFit="1" customWidth="1"/>
    <col min="12314" max="12314" width="14.85546875" style="45" bestFit="1" customWidth="1"/>
    <col min="12315" max="12317" width="14.85546875" style="45" customWidth="1"/>
    <col min="12318" max="12318" width="10.85546875" style="45" bestFit="1" customWidth="1"/>
    <col min="12319" max="12319" width="9.140625" style="45"/>
    <col min="12320" max="12320" width="108.28515625" style="45" customWidth="1"/>
    <col min="12321" max="12539" width="9.140625" style="45"/>
    <col min="12540" max="12540" width="52.5703125" style="45" bestFit="1" customWidth="1"/>
    <col min="12541" max="12541" width="7.85546875" style="45" customWidth="1"/>
    <col min="12542" max="12546" width="9.140625" style="45" customWidth="1"/>
    <col min="12547" max="12547" width="2.42578125" style="45" customWidth="1"/>
    <col min="12548" max="12553" width="9.140625" style="45" customWidth="1"/>
    <col min="12554" max="12554" width="2.42578125" style="45" customWidth="1"/>
    <col min="12555" max="12560" width="9.140625" style="45" customWidth="1"/>
    <col min="12561" max="12561" width="2.42578125" style="45" customWidth="1"/>
    <col min="12562" max="12567" width="9.140625" style="45"/>
    <col min="12568" max="12568" width="4.85546875" style="45" customWidth="1"/>
    <col min="12569" max="12569" width="13.42578125" style="45" bestFit="1" customWidth="1"/>
    <col min="12570" max="12570" width="14.85546875" style="45" bestFit="1" customWidth="1"/>
    <col min="12571" max="12573" width="14.85546875" style="45" customWidth="1"/>
    <col min="12574" max="12574" width="10.85546875" style="45" bestFit="1" customWidth="1"/>
    <col min="12575" max="12575" width="9.140625" style="45"/>
    <col min="12576" max="12576" width="108.28515625" style="45" customWidth="1"/>
    <col min="12577" max="12795" width="9.140625" style="45"/>
    <col min="12796" max="12796" width="52.5703125" style="45" bestFit="1" customWidth="1"/>
    <col min="12797" max="12797" width="7.85546875" style="45" customWidth="1"/>
    <col min="12798" max="12802" width="9.140625" style="45" customWidth="1"/>
    <col min="12803" max="12803" width="2.42578125" style="45" customWidth="1"/>
    <col min="12804" max="12809" width="9.140625" style="45" customWidth="1"/>
    <col min="12810" max="12810" width="2.42578125" style="45" customWidth="1"/>
    <col min="12811" max="12816" width="9.140625" style="45" customWidth="1"/>
    <col min="12817" max="12817" width="2.42578125" style="45" customWidth="1"/>
    <col min="12818" max="12823" width="9.140625" style="45"/>
    <col min="12824" max="12824" width="4.85546875" style="45" customWidth="1"/>
    <col min="12825" max="12825" width="13.42578125" style="45" bestFit="1" customWidth="1"/>
    <col min="12826" max="12826" width="14.85546875" style="45" bestFit="1" customWidth="1"/>
    <col min="12827" max="12829" width="14.85546875" style="45" customWidth="1"/>
    <col min="12830" max="12830" width="10.85546875" style="45" bestFit="1" customWidth="1"/>
    <col min="12831" max="12831" width="9.140625" style="45"/>
    <col min="12832" max="12832" width="108.28515625" style="45" customWidth="1"/>
    <col min="12833" max="13051" width="9.140625" style="45"/>
    <col min="13052" max="13052" width="52.5703125" style="45" bestFit="1" customWidth="1"/>
    <col min="13053" max="13053" width="7.85546875" style="45" customWidth="1"/>
    <col min="13054" max="13058" width="9.140625" style="45" customWidth="1"/>
    <col min="13059" max="13059" width="2.42578125" style="45" customWidth="1"/>
    <col min="13060" max="13065" width="9.140625" style="45" customWidth="1"/>
    <col min="13066" max="13066" width="2.42578125" style="45" customWidth="1"/>
    <col min="13067" max="13072" width="9.140625" style="45" customWidth="1"/>
    <col min="13073" max="13073" width="2.42578125" style="45" customWidth="1"/>
    <col min="13074" max="13079" width="9.140625" style="45"/>
    <col min="13080" max="13080" width="4.85546875" style="45" customWidth="1"/>
    <col min="13081" max="13081" width="13.42578125" style="45" bestFit="1" customWidth="1"/>
    <col min="13082" max="13082" width="14.85546875" style="45" bestFit="1" customWidth="1"/>
    <col min="13083" max="13085" width="14.85546875" style="45" customWidth="1"/>
    <col min="13086" max="13086" width="10.85546875" style="45" bestFit="1" customWidth="1"/>
    <col min="13087" max="13087" width="9.140625" style="45"/>
    <col min="13088" max="13088" width="108.28515625" style="45" customWidth="1"/>
    <col min="13089" max="13307" width="9.140625" style="45"/>
    <col min="13308" max="13308" width="52.5703125" style="45" bestFit="1" customWidth="1"/>
    <col min="13309" max="13309" width="7.85546875" style="45" customWidth="1"/>
    <col min="13310" max="13314" width="9.140625" style="45" customWidth="1"/>
    <col min="13315" max="13315" width="2.42578125" style="45" customWidth="1"/>
    <col min="13316" max="13321" width="9.140625" style="45" customWidth="1"/>
    <col min="13322" max="13322" width="2.42578125" style="45" customWidth="1"/>
    <col min="13323" max="13328" width="9.140625" style="45" customWidth="1"/>
    <col min="13329" max="13329" width="2.42578125" style="45" customWidth="1"/>
    <col min="13330" max="13335" width="9.140625" style="45"/>
    <col min="13336" max="13336" width="4.85546875" style="45" customWidth="1"/>
    <col min="13337" max="13337" width="13.42578125" style="45" bestFit="1" customWidth="1"/>
    <col min="13338" max="13338" width="14.85546875" style="45" bestFit="1" customWidth="1"/>
    <col min="13339" max="13341" width="14.85546875" style="45" customWidth="1"/>
    <col min="13342" max="13342" width="10.85546875" style="45" bestFit="1" customWidth="1"/>
    <col min="13343" max="13343" width="9.140625" style="45"/>
    <col min="13344" max="13344" width="108.28515625" style="45" customWidth="1"/>
    <col min="13345" max="13563" width="9.140625" style="45"/>
    <col min="13564" max="13564" width="52.5703125" style="45" bestFit="1" customWidth="1"/>
    <col min="13565" max="13565" width="7.85546875" style="45" customWidth="1"/>
    <col min="13566" max="13570" width="9.140625" style="45" customWidth="1"/>
    <col min="13571" max="13571" width="2.42578125" style="45" customWidth="1"/>
    <col min="13572" max="13577" width="9.140625" style="45" customWidth="1"/>
    <col min="13578" max="13578" width="2.42578125" style="45" customWidth="1"/>
    <col min="13579" max="13584" width="9.140625" style="45" customWidth="1"/>
    <col min="13585" max="13585" width="2.42578125" style="45" customWidth="1"/>
    <col min="13586" max="13591" width="9.140625" style="45"/>
    <col min="13592" max="13592" width="4.85546875" style="45" customWidth="1"/>
    <col min="13593" max="13593" width="13.42578125" style="45" bestFit="1" customWidth="1"/>
    <col min="13594" max="13594" width="14.85546875" style="45" bestFit="1" customWidth="1"/>
    <col min="13595" max="13597" width="14.85546875" style="45" customWidth="1"/>
    <col min="13598" max="13598" width="10.85546875" style="45" bestFit="1" customWidth="1"/>
    <col min="13599" max="13599" width="9.140625" style="45"/>
    <col min="13600" max="13600" width="108.28515625" style="45" customWidth="1"/>
    <col min="13601" max="13819" width="9.140625" style="45"/>
    <col min="13820" max="13820" width="52.5703125" style="45" bestFit="1" customWidth="1"/>
    <col min="13821" max="13821" width="7.85546875" style="45" customWidth="1"/>
    <col min="13822" max="13826" width="9.140625" style="45" customWidth="1"/>
    <col min="13827" max="13827" width="2.42578125" style="45" customWidth="1"/>
    <col min="13828" max="13833" width="9.140625" style="45" customWidth="1"/>
    <col min="13834" max="13834" width="2.42578125" style="45" customWidth="1"/>
    <col min="13835" max="13840" width="9.140625" style="45" customWidth="1"/>
    <col min="13841" max="13841" width="2.42578125" style="45" customWidth="1"/>
    <col min="13842" max="13847" width="9.140625" style="45"/>
    <col min="13848" max="13848" width="4.85546875" style="45" customWidth="1"/>
    <col min="13849" max="13849" width="13.42578125" style="45" bestFit="1" customWidth="1"/>
    <col min="13850" max="13850" width="14.85546875" style="45" bestFit="1" customWidth="1"/>
    <col min="13851" max="13853" width="14.85546875" style="45" customWidth="1"/>
    <col min="13854" max="13854" width="10.85546875" style="45" bestFit="1" customWidth="1"/>
    <col min="13855" max="13855" width="9.140625" style="45"/>
    <col min="13856" max="13856" width="108.28515625" style="45" customWidth="1"/>
    <col min="13857" max="14075" width="9.140625" style="45"/>
    <col min="14076" max="14076" width="52.5703125" style="45" bestFit="1" customWidth="1"/>
    <col min="14077" max="14077" width="7.85546875" style="45" customWidth="1"/>
    <col min="14078" max="14082" width="9.140625" style="45" customWidth="1"/>
    <col min="14083" max="14083" width="2.42578125" style="45" customWidth="1"/>
    <col min="14084" max="14089" width="9.140625" style="45" customWidth="1"/>
    <col min="14090" max="14090" width="2.42578125" style="45" customWidth="1"/>
    <col min="14091" max="14096" width="9.140625" style="45" customWidth="1"/>
    <col min="14097" max="14097" width="2.42578125" style="45" customWidth="1"/>
    <col min="14098" max="14103" width="9.140625" style="45"/>
    <col min="14104" max="14104" width="4.85546875" style="45" customWidth="1"/>
    <col min="14105" max="14105" width="13.42578125" style="45" bestFit="1" customWidth="1"/>
    <col min="14106" max="14106" width="14.85546875" style="45" bestFit="1" customWidth="1"/>
    <col min="14107" max="14109" width="14.85546875" style="45" customWidth="1"/>
    <col min="14110" max="14110" width="10.85546875" style="45" bestFit="1" customWidth="1"/>
    <col min="14111" max="14111" width="9.140625" style="45"/>
    <col min="14112" max="14112" width="108.28515625" style="45" customWidth="1"/>
    <col min="14113" max="14331" width="9.140625" style="45"/>
    <col min="14332" max="14332" width="52.5703125" style="45" bestFit="1" customWidth="1"/>
    <col min="14333" max="14333" width="7.85546875" style="45" customWidth="1"/>
    <col min="14334" max="14338" width="9.140625" style="45" customWidth="1"/>
    <col min="14339" max="14339" width="2.42578125" style="45" customWidth="1"/>
    <col min="14340" max="14345" width="9.140625" style="45" customWidth="1"/>
    <col min="14346" max="14346" width="2.42578125" style="45" customWidth="1"/>
    <col min="14347" max="14352" width="9.140625" style="45" customWidth="1"/>
    <col min="14353" max="14353" width="2.42578125" style="45" customWidth="1"/>
    <col min="14354" max="14359" width="9.140625" style="45"/>
    <col min="14360" max="14360" width="4.85546875" style="45" customWidth="1"/>
    <col min="14361" max="14361" width="13.42578125" style="45" bestFit="1" customWidth="1"/>
    <col min="14362" max="14362" width="14.85546875" style="45" bestFit="1" customWidth="1"/>
    <col min="14363" max="14365" width="14.85546875" style="45" customWidth="1"/>
    <col min="14366" max="14366" width="10.85546875" style="45" bestFit="1" customWidth="1"/>
    <col min="14367" max="14367" width="9.140625" style="45"/>
    <col min="14368" max="14368" width="108.28515625" style="45" customWidth="1"/>
    <col min="14369" max="14587" width="9.140625" style="45"/>
    <col min="14588" max="14588" width="52.5703125" style="45" bestFit="1" customWidth="1"/>
    <col min="14589" max="14589" width="7.85546875" style="45" customWidth="1"/>
    <col min="14590" max="14594" width="9.140625" style="45" customWidth="1"/>
    <col min="14595" max="14595" width="2.42578125" style="45" customWidth="1"/>
    <col min="14596" max="14601" width="9.140625" style="45" customWidth="1"/>
    <col min="14602" max="14602" width="2.42578125" style="45" customWidth="1"/>
    <col min="14603" max="14608" width="9.140625" style="45" customWidth="1"/>
    <col min="14609" max="14609" width="2.42578125" style="45" customWidth="1"/>
    <col min="14610" max="14615" width="9.140625" style="45"/>
    <col min="14616" max="14616" width="4.85546875" style="45" customWidth="1"/>
    <col min="14617" max="14617" width="13.42578125" style="45" bestFit="1" customWidth="1"/>
    <col min="14618" max="14618" width="14.85546875" style="45" bestFit="1" customWidth="1"/>
    <col min="14619" max="14621" width="14.85546875" style="45" customWidth="1"/>
    <col min="14622" max="14622" width="10.85546875" style="45" bestFit="1" customWidth="1"/>
    <col min="14623" max="14623" width="9.140625" style="45"/>
    <col min="14624" max="14624" width="108.28515625" style="45" customWidth="1"/>
    <col min="14625" max="14843" width="9.140625" style="45"/>
    <col min="14844" max="14844" width="52.5703125" style="45" bestFit="1" customWidth="1"/>
    <col min="14845" max="14845" width="7.85546875" style="45" customWidth="1"/>
    <col min="14846" max="14850" width="9.140625" style="45" customWidth="1"/>
    <col min="14851" max="14851" width="2.42578125" style="45" customWidth="1"/>
    <col min="14852" max="14857" width="9.140625" style="45" customWidth="1"/>
    <col min="14858" max="14858" width="2.42578125" style="45" customWidth="1"/>
    <col min="14859" max="14864" width="9.140625" style="45" customWidth="1"/>
    <col min="14865" max="14865" width="2.42578125" style="45" customWidth="1"/>
    <col min="14866" max="14871" width="9.140625" style="45"/>
    <col min="14872" max="14872" width="4.85546875" style="45" customWidth="1"/>
    <col min="14873" max="14873" width="13.42578125" style="45" bestFit="1" customWidth="1"/>
    <col min="14874" max="14874" width="14.85546875" style="45" bestFit="1" customWidth="1"/>
    <col min="14875" max="14877" width="14.85546875" style="45" customWidth="1"/>
    <col min="14878" max="14878" width="10.85546875" style="45" bestFit="1" customWidth="1"/>
    <col min="14879" max="14879" width="9.140625" style="45"/>
    <col min="14880" max="14880" width="108.28515625" style="45" customWidth="1"/>
    <col min="14881" max="15099" width="9.140625" style="45"/>
    <col min="15100" max="15100" width="52.5703125" style="45" bestFit="1" customWidth="1"/>
    <col min="15101" max="15101" width="7.85546875" style="45" customWidth="1"/>
    <col min="15102" max="15106" width="9.140625" style="45" customWidth="1"/>
    <col min="15107" max="15107" width="2.42578125" style="45" customWidth="1"/>
    <col min="15108" max="15113" width="9.140625" style="45" customWidth="1"/>
    <col min="15114" max="15114" width="2.42578125" style="45" customWidth="1"/>
    <col min="15115" max="15120" width="9.140625" style="45" customWidth="1"/>
    <col min="15121" max="15121" width="2.42578125" style="45" customWidth="1"/>
    <col min="15122" max="15127" width="9.140625" style="45"/>
    <col min="15128" max="15128" width="4.85546875" style="45" customWidth="1"/>
    <col min="15129" max="15129" width="13.42578125" style="45" bestFit="1" customWidth="1"/>
    <col min="15130" max="15130" width="14.85546875" style="45" bestFit="1" customWidth="1"/>
    <col min="15131" max="15133" width="14.85546875" style="45" customWidth="1"/>
    <col min="15134" max="15134" width="10.85546875" style="45" bestFit="1" customWidth="1"/>
    <col min="15135" max="15135" width="9.140625" style="45"/>
    <col min="15136" max="15136" width="108.28515625" style="45" customWidth="1"/>
    <col min="15137" max="15355" width="9.140625" style="45"/>
    <col min="15356" max="15356" width="52.5703125" style="45" bestFit="1" customWidth="1"/>
    <col min="15357" max="15357" width="7.85546875" style="45" customWidth="1"/>
    <col min="15358" max="15362" width="9.140625" style="45" customWidth="1"/>
    <col min="15363" max="15363" width="2.42578125" style="45" customWidth="1"/>
    <col min="15364" max="15369" width="9.140625" style="45" customWidth="1"/>
    <col min="15370" max="15370" width="2.42578125" style="45" customWidth="1"/>
    <col min="15371" max="15376" width="9.140625" style="45" customWidth="1"/>
    <col min="15377" max="15377" width="2.42578125" style="45" customWidth="1"/>
    <col min="15378" max="15383" width="9.140625" style="45"/>
    <col min="15384" max="15384" width="4.85546875" style="45" customWidth="1"/>
    <col min="15385" max="15385" width="13.42578125" style="45" bestFit="1" customWidth="1"/>
    <col min="15386" max="15386" width="14.85546875" style="45" bestFit="1" customWidth="1"/>
    <col min="15387" max="15389" width="14.85546875" style="45" customWidth="1"/>
    <col min="15390" max="15390" width="10.85546875" style="45" bestFit="1" customWidth="1"/>
    <col min="15391" max="15391" width="9.140625" style="45"/>
    <col min="15392" max="15392" width="108.28515625" style="45" customWidth="1"/>
    <col min="15393" max="15611" width="9.140625" style="45"/>
    <col min="15612" max="15612" width="52.5703125" style="45" bestFit="1" customWidth="1"/>
    <col min="15613" max="15613" width="7.85546875" style="45" customWidth="1"/>
    <col min="15614" max="15618" width="9.140625" style="45" customWidth="1"/>
    <col min="15619" max="15619" width="2.42578125" style="45" customWidth="1"/>
    <col min="15620" max="15625" width="9.140625" style="45" customWidth="1"/>
    <col min="15626" max="15626" width="2.42578125" style="45" customWidth="1"/>
    <col min="15627" max="15632" width="9.140625" style="45" customWidth="1"/>
    <col min="15633" max="15633" width="2.42578125" style="45" customWidth="1"/>
    <col min="15634" max="15639" width="9.140625" style="45"/>
    <col min="15640" max="15640" width="4.85546875" style="45" customWidth="1"/>
    <col min="15641" max="15641" width="13.42578125" style="45" bestFit="1" customWidth="1"/>
    <col min="15642" max="15642" width="14.85546875" style="45" bestFit="1" customWidth="1"/>
    <col min="15643" max="15645" width="14.85546875" style="45" customWidth="1"/>
    <col min="15646" max="15646" width="10.85546875" style="45" bestFit="1" customWidth="1"/>
    <col min="15647" max="15647" width="9.140625" style="45"/>
    <col min="15648" max="15648" width="108.28515625" style="45" customWidth="1"/>
    <col min="15649" max="15867" width="9.140625" style="45"/>
    <col min="15868" max="15868" width="52.5703125" style="45" bestFit="1" customWidth="1"/>
    <col min="15869" max="15869" width="7.85546875" style="45" customWidth="1"/>
    <col min="15870" max="15874" width="9.140625" style="45" customWidth="1"/>
    <col min="15875" max="15875" width="2.42578125" style="45" customWidth="1"/>
    <col min="15876" max="15881" width="9.140625" style="45" customWidth="1"/>
    <col min="15882" max="15882" width="2.42578125" style="45" customWidth="1"/>
    <col min="15883" max="15888" width="9.140625" style="45" customWidth="1"/>
    <col min="15889" max="15889" width="2.42578125" style="45" customWidth="1"/>
    <col min="15890" max="15895" width="9.140625" style="45"/>
    <col min="15896" max="15896" width="4.85546875" style="45" customWidth="1"/>
    <col min="15897" max="15897" width="13.42578125" style="45" bestFit="1" customWidth="1"/>
    <col min="15898" max="15898" width="14.85546875" style="45" bestFit="1" customWidth="1"/>
    <col min="15899" max="15901" width="14.85546875" style="45" customWidth="1"/>
    <col min="15902" max="15902" width="10.85546875" style="45" bestFit="1" customWidth="1"/>
    <col min="15903" max="15903" width="9.140625" style="45"/>
    <col min="15904" max="15904" width="108.28515625" style="45" customWidth="1"/>
    <col min="15905" max="16123" width="9.140625" style="45"/>
    <col min="16124" max="16124" width="52.5703125" style="45" bestFit="1" customWidth="1"/>
    <col min="16125" max="16125" width="7.85546875" style="45" customWidth="1"/>
    <col min="16126" max="16130" width="9.140625" style="45" customWidth="1"/>
    <col min="16131" max="16131" width="2.42578125" style="45" customWidth="1"/>
    <col min="16132" max="16137" width="9.140625" style="45" customWidth="1"/>
    <col min="16138" max="16138" width="2.42578125" style="45" customWidth="1"/>
    <col min="16139" max="16144" width="9.140625" style="45" customWidth="1"/>
    <col min="16145" max="16145" width="2.42578125" style="45" customWidth="1"/>
    <col min="16146" max="16151" width="9.140625" style="45"/>
    <col min="16152" max="16152" width="4.85546875" style="45" customWidth="1"/>
    <col min="16153" max="16153" width="13.42578125" style="45" bestFit="1" customWidth="1"/>
    <col min="16154" max="16154" width="14.85546875" style="45" bestFit="1" customWidth="1"/>
    <col min="16155" max="16157" width="14.85546875" style="45" customWidth="1"/>
    <col min="16158" max="16158" width="10.85546875" style="45" bestFit="1" customWidth="1"/>
    <col min="16159" max="16159" width="9.140625" style="45"/>
    <col min="16160" max="16160" width="108.28515625" style="45" customWidth="1"/>
    <col min="16161" max="16384" width="9.140625" style="45"/>
  </cols>
  <sheetData>
    <row r="1" spans="1:32" ht="15" customHeight="1" x14ac:dyDescent="0.25">
      <c r="A1" s="40" t="s">
        <v>696</v>
      </c>
      <c r="B1" s="40"/>
    </row>
    <row r="2" spans="1:32" ht="15" customHeight="1" x14ac:dyDescent="0.25">
      <c r="A2" s="40" t="s">
        <v>697</v>
      </c>
      <c r="B2" s="40"/>
    </row>
    <row r="3" spans="1:32" ht="15" customHeight="1" x14ac:dyDescent="0.25">
      <c r="D3" s="1318" t="s">
        <v>186</v>
      </c>
      <c r="E3" s="1318"/>
      <c r="F3" s="1318"/>
      <c r="G3" s="1318"/>
      <c r="H3" s="1318"/>
      <c r="I3" s="1318"/>
      <c r="J3" s="48"/>
      <c r="K3" s="1318" t="s">
        <v>187</v>
      </c>
      <c r="L3" s="1318"/>
      <c r="M3" s="1318"/>
      <c r="N3" s="1318"/>
      <c r="O3" s="1318"/>
      <c r="P3" s="1318"/>
      <c r="R3" s="1318" t="s">
        <v>173</v>
      </c>
      <c r="S3" s="1318"/>
      <c r="T3" s="1318"/>
      <c r="U3" s="1318"/>
      <c r="V3" s="1318"/>
      <c r="W3" s="1318"/>
      <c r="Y3" s="470" t="s">
        <v>166</v>
      </c>
      <c r="Z3" s="470" t="s">
        <v>188</v>
      </c>
      <c r="AA3" s="470" t="s">
        <v>189</v>
      </c>
      <c r="AB3" s="470" t="s">
        <v>190</v>
      </c>
      <c r="AC3" s="470" t="s">
        <v>191</v>
      </c>
      <c r="AD3" s="470" t="s">
        <v>149</v>
      </c>
      <c r="AE3" s="45" t="s">
        <v>147</v>
      </c>
    </row>
    <row r="4" spans="1:32" ht="15" customHeight="1" x14ac:dyDescent="0.25">
      <c r="A4" s="40" t="s">
        <v>698</v>
      </c>
      <c r="B4" s="40" t="s">
        <v>699</v>
      </c>
      <c r="D4" s="49" t="s">
        <v>161</v>
      </c>
      <c r="E4" s="49" t="s">
        <v>162</v>
      </c>
      <c r="F4" s="49" t="s">
        <v>163</v>
      </c>
      <c r="G4" s="49" t="s">
        <v>164</v>
      </c>
      <c r="H4" s="49" t="s">
        <v>700</v>
      </c>
      <c r="I4" s="49" t="s">
        <v>149</v>
      </c>
      <c r="J4" s="50"/>
      <c r="K4" s="49" t="s">
        <v>161</v>
      </c>
      <c r="L4" s="49" t="s">
        <v>162</v>
      </c>
      <c r="M4" s="49" t="s">
        <v>163</v>
      </c>
      <c r="N4" s="49" t="s">
        <v>164</v>
      </c>
      <c r="O4" s="49" t="s">
        <v>700</v>
      </c>
      <c r="P4" s="49" t="s">
        <v>149</v>
      </c>
      <c r="R4" s="49" t="s">
        <v>161</v>
      </c>
      <c r="S4" s="49" t="s">
        <v>162</v>
      </c>
      <c r="T4" s="49" t="s">
        <v>163</v>
      </c>
      <c r="U4" s="49" t="s">
        <v>164</v>
      </c>
      <c r="V4" s="49" t="s">
        <v>700</v>
      </c>
      <c r="W4" s="49" t="s">
        <v>149</v>
      </c>
      <c r="X4" s="50"/>
      <c r="Y4" s="49"/>
      <c r="Z4" s="49"/>
      <c r="AA4" s="49"/>
      <c r="AB4" s="49" t="s">
        <v>183</v>
      </c>
      <c r="AC4" s="49"/>
      <c r="AD4" s="49"/>
      <c r="AE4" s="45" t="s">
        <v>189</v>
      </c>
    </row>
    <row r="5" spans="1:32" ht="15" customHeight="1" x14ac:dyDescent="0.25">
      <c r="A5" s="42" t="s">
        <v>12</v>
      </c>
      <c r="B5" s="42">
        <v>2442</v>
      </c>
      <c r="C5" s="42"/>
      <c r="D5" s="44">
        <v>0</v>
      </c>
      <c r="E5" s="44">
        <v>2</v>
      </c>
      <c r="F5" s="44">
        <v>9</v>
      </c>
      <c r="G5" s="44">
        <v>3</v>
      </c>
      <c r="H5" s="44">
        <v>0</v>
      </c>
      <c r="I5" s="44">
        <v>14</v>
      </c>
      <c r="J5" s="42"/>
      <c r="K5" s="44">
        <v>0</v>
      </c>
      <c r="L5" s="44">
        <v>0</v>
      </c>
      <c r="M5" s="44">
        <v>0</v>
      </c>
      <c r="N5" s="44">
        <v>0</v>
      </c>
      <c r="O5" s="44">
        <v>0</v>
      </c>
      <c r="P5" s="44">
        <v>0</v>
      </c>
      <c r="Q5" s="42"/>
      <c r="R5" s="44">
        <v>0</v>
      </c>
      <c r="S5" s="44">
        <v>2</v>
      </c>
      <c r="T5" s="44">
        <v>9</v>
      </c>
      <c r="U5" s="44">
        <v>3</v>
      </c>
      <c r="V5" s="44">
        <v>0</v>
      </c>
      <c r="W5" s="44">
        <v>14</v>
      </c>
      <c r="X5" s="42"/>
      <c r="Y5" s="43">
        <v>140000</v>
      </c>
      <c r="Z5" s="43">
        <v>105587.07500000001</v>
      </c>
      <c r="AA5" s="43">
        <v>0</v>
      </c>
      <c r="AB5" s="43">
        <v>245587.07500000001</v>
      </c>
      <c r="AC5" s="43">
        <v>0</v>
      </c>
      <c r="AD5" s="43">
        <v>245587.07500000001</v>
      </c>
      <c r="AE5" s="44"/>
      <c r="AF5" s="44"/>
    </row>
    <row r="6" spans="1:32" ht="15" customHeight="1" x14ac:dyDescent="0.25">
      <c r="A6" s="42" t="s">
        <v>13</v>
      </c>
      <c r="B6" s="42">
        <v>2629</v>
      </c>
      <c r="C6" s="42"/>
      <c r="D6" s="44">
        <v>1</v>
      </c>
      <c r="E6" s="44">
        <v>0</v>
      </c>
      <c r="F6" s="44">
        <v>2</v>
      </c>
      <c r="G6" s="44">
        <v>2</v>
      </c>
      <c r="H6" s="44">
        <v>0</v>
      </c>
      <c r="I6" s="44">
        <v>5</v>
      </c>
      <c r="J6" s="42"/>
      <c r="K6" s="44">
        <v>0</v>
      </c>
      <c r="L6" s="44">
        <v>0</v>
      </c>
      <c r="M6" s="44">
        <v>0</v>
      </c>
      <c r="N6" s="44">
        <v>0</v>
      </c>
      <c r="O6" s="44">
        <v>0</v>
      </c>
      <c r="P6" s="44">
        <v>0</v>
      </c>
      <c r="Q6" s="42"/>
      <c r="R6" s="44">
        <v>1</v>
      </c>
      <c r="S6" s="44">
        <v>0</v>
      </c>
      <c r="T6" s="44">
        <v>2</v>
      </c>
      <c r="U6" s="44">
        <v>2</v>
      </c>
      <c r="V6" s="44">
        <v>0</v>
      </c>
      <c r="W6" s="44">
        <v>5</v>
      </c>
      <c r="X6" s="42"/>
      <c r="Y6" s="43">
        <v>50000</v>
      </c>
      <c r="Z6" s="43">
        <v>38219.97</v>
      </c>
      <c r="AA6" s="43">
        <v>0</v>
      </c>
      <c r="AB6" s="43">
        <v>88219.97</v>
      </c>
      <c r="AC6" s="43">
        <v>0</v>
      </c>
      <c r="AD6" s="43">
        <v>88219.97</v>
      </c>
      <c r="AE6" s="44"/>
      <c r="AF6" s="44"/>
    </row>
    <row r="7" spans="1:32" ht="15" customHeight="1" x14ac:dyDescent="0.25">
      <c r="A7" s="42" t="s">
        <v>701</v>
      </c>
      <c r="B7" s="42">
        <v>4177</v>
      </c>
      <c r="C7" s="42"/>
      <c r="D7" s="43">
        <v>0</v>
      </c>
      <c r="E7" s="43">
        <v>15</v>
      </c>
      <c r="F7" s="44">
        <v>14</v>
      </c>
      <c r="G7" s="44">
        <v>14</v>
      </c>
      <c r="H7" s="44">
        <v>0</v>
      </c>
      <c r="I7" s="44">
        <v>43</v>
      </c>
      <c r="J7" s="42"/>
      <c r="K7" s="43">
        <v>0</v>
      </c>
      <c r="L7" s="43">
        <v>0</v>
      </c>
      <c r="M7" s="44">
        <v>2</v>
      </c>
      <c r="N7" s="44">
        <v>0</v>
      </c>
      <c r="O7" s="44">
        <v>0</v>
      </c>
      <c r="P7" s="44">
        <v>2</v>
      </c>
      <c r="Q7" s="42"/>
      <c r="R7" s="44">
        <v>0</v>
      </c>
      <c r="S7" s="44">
        <v>15</v>
      </c>
      <c r="T7" s="44">
        <v>16</v>
      </c>
      <c r="U7" s="44">
        <v>14</v>
      </c>
      <c r="V7" s="44">
        <v>0</v>
      </c>
      <c r="W7" s="44">
        <v>45</v>
      </c>
      <c r="X7" s="42"/>
      <c r="Y7" s="43">
        <v>450000</v>
      </c>
      <c r="Z7" s="43">
        <v>360706.01500000001</v>
      </c>
      <c r="AA7" s="43">
        <v>0</v>
      </c>
      <c r="AB7" s="43">
        <v>810706.01500000001</v>
      </c>
      <c r="AC7" s="43">
        <v>16284.02</v>
      </c>
      <c r="AD7" s="43">
        <v>826990.03500000003</v>
      </c>
      <c r="AE7" s="44"/>
      <c r="AF7" s="44"/>
    </row>
    <row r="8" spans="1:32" ht="15" customHeight="1" x14ac:dyDescent="0.25">
      <c r="A8" s="42" t="s">
        <v>21</v>
      </c>
      <c r="B8" s="42">
        <v>2433</v>
      </c>
      <c r="C8" s="42"/>
      <c r="D8" s="44">
        <v>0</v>
      </c>
      <c r="E8" s="44">
        <v>6</v>
      </c>
      <c r="F8" s="44">
        <v>9</v>
      </c>
      <c r="G8" s="44">
        <v>10</v>
      </c>
      <c r="H8" s="44">
        <v>0</v>
      </c>
      <c r="I8" s="44">
        <v>25</v>
      </c>
      <c r="J8" s="42"/>
      <c r="K8" s="44">
        <v>0</v>
      </c>
      <c r="L8" s="44">
        <v>0</v>
      </c>
      <c r="M8" s="44">
        <v>0</v>
      </c>
      <c r="N8" s="44">
        <v>0</v>
      </c>
      <c r="O8" s="44">
        <v>0</v>
      </c>
      <c r="P8" s="44">
        <v>0</v>
      </c>
      <c r="Q8" s="42"/>
      <c r="R8" s="44">
        <v>0</v>
      </c>
      <c r="S8" s="44">
        <v>6</v>
      </c>
      <c r="T8" s="44">
        <v>9</v>
      </c>
      <c r="U8" s="44">
        <v>10</v>
      </c>
      <c r="V8" s="44">
        <v>0</v>
      </c>
      <c r="W8" s="44">
        <v>25</v>
      </c>
      <c r="X8" s="42"/>
      <c r="Y8" s="43">
        <v>250000</v>
      </c>
      <c r="Z8" s="43">
        <v>200537.13500000001</v>
      </c>
      <c r="AA8" s="43">
        <v>0</v>
      </c>
      <c r="AB8" s="43">
        <v>450537.13500000001</v>
      </c>
      <c r="AC8" s="43">
        <v>0</v>
      </c>
      <c r="AD8" s="43">
        <v>450537.13500000001</v>
      </c>
      <c r="AE8" s="44"/>
      <c r="AF8" s="44"/>
    </row>
    <row r="9" spans="1:32" ht="15" customHeight="1" x14ac:dyDescent="0.25">
      <c r="A9" s="42" t="s">
        <v>22</v>
      </c>
      <c r="B9" s="42">
        <v>2432</v>
      </c>
      <c r="C9" s="42"/>
      <c r="D9" s="44">
        <v>0</v>
      </c>
      <c r="E9" s="44">
        <v>4</v>
      </c>
      <c r="F9" s="44">
        <v>19</v>
      </c>
      <c r="G9" s="44">
        <v>14</v>
      </c>
      <c r="H9" s="44">
        <v>0</v>
      </c>
      <c r="I9" s="44">
        <v>37</v>
      </c>
      <c r="J9" s="42"/>
      <c r="K9" s="44">
        <v>0</v>
      </c>
      <c r="L9" s="44">
        <v>0</v>
      </c>
      <c r="M9" s="44">
        <v>1</v>
      </c>
      <c r="N9" s="44">
        <v>0</v>
      </c>
      <c r="O9" s="44">
        <v>0</v>
      </c>
      <c r="P9" s="44">
        <v>1</v>
      </c>
      <c r="Q9" s="42"/>
      <c r="R9" s="44">
        <v>0</v>
      </c>
      <c r="S9" s="44">
        <v>4</v>
      </c>
      <c r="T9" s="44">
        <v>20</v>
      </c>
      <c r="U9" s="44">
        <v>14</v>
      </c>
      <c r="V9" s="44">
        <v>0</v>
      </c>
      <c r="W9" s="44">
        <v>38</v>
      </c>
      <c r="X9" s="42"/>
      <c r="Y9" s="43">
        <v>380000</v>
      </c>
      <c r="Z9" s="43">
        <v>309578.60499999998</v>
      </c>
      <c r="AA9" s="43">
        <v>0</v>
      </c>
      <c r="AB9" s="43">
        <v>689578.60499999998</v>
      </c>
      <c r="AC9" s="43">
        <v>7091.0150000000003</v>
      </c>
      <c r="AD9" s="43">
        <v>696669.62</v>
      </c>
      <c r="AE9" s="44"/>
      <c r="AF9" s="44"/>
    </row>
    <row r="10" spans="1:32" ht="15" customHeight="1" x14ac:dyDescent="0.25">
      <c r="A10" s="42" t="s">
        <v>702</v>
      </c>
      <c r="B10" s="42">
        <v>4181</v>
      </c>
      <c r="C10" s="42"/>
      <c r="D10" s="43">
        <v>8</v>
      </c>
      <c r="E10" s="43">
        <v>0</v>
      </c>
      <c r="F10" s="43">
        <v>0</v>
      </c>
      <c r="G10" s="43">
        <v>0</v>
      </c>
      <c r="H10" s="43">
        <v>0</v>
      </c>
      <c r="I10" s="44">
        <v>8</v>
      </c>
      <c r="J10" s="42"/>
      <c r="K10" s="43">
        <v>0</v>
      </c>
      <c r="L10" s="43">
        <v>0</v>
      </c>
      <c r="M10" s="43">
        <v>0</v>
      </c>
      <c r="N10" s="43">
        <v>0</v>
      </c>
      <c r="O10" s="43">
        <v>0</v>
      </c>
      <c r="P10" s="44">
        <v>0</v>
      </c>
      <c r="Q10" s="42"/>
      <c r="R10" s="44">
        <v>8</v>
      </c>
      <c r="S10" s="44">
        <v>0</v>
      </c>
      <c r="T10" s="44">
        <v>0</v>
      </c>
      <c r="U10" s="44">
        <v>0</v>
      </c>
      <c r="V10" s="44">
        <v>0</v>
      </c>
      <c r="W10" s="44">
        <v>8</v>
      </c>
      <c r="X10" s="42"/>
      <c r="Y10" s="43">
        <v>80000</v>
      </c>
      <c r="Z10" s="43">
        <v>18084.599999999999</v>
      </c>
      <c r="AA10" s="43">
        <v>0</v>
      </c>
      <c r="AB10" s="43">
        <v>98084.6</v>
      </c>
      <c r="AC10" s="43">
        <v>0</v>
      </c>
      <c r="AD10" s="43">
        <v>98084.6</v>
      </c>
      <c r="AE10" s="44"/>
      <c r="AF10" s="44"/>
    </row>
    <row r="11" spans="1:32" ht="15" customHeight="1" x14ac:dyDescent="0.25">
      <c r="A11" s="42" t="s">
        <v>703</v>
      </c>
      <c r="B11" s="42">
        <v>4181</v>
      </c>
      <c r="C11" s="42"/>
      <c r="D11" s="43">
        <v>8</v>
      </c>
      <c r="E11" s="43">
        <v>0</v>
      </c>
      <c r="F11" s="43">
        <v>0</v>
      </c>
      <c r="G11" s="43">
        <v>0</v>
      </c>
      <c r="H11" s="43">
        <v>0</v>
      </c>
      <c r="I11" s="44">
        <v>8</v>
      </c>
      <c r="J11" s="42"/>
      <c r="K11" s="43">
        <v>0</v>
      </c>
      <c r="L11" s="43">
        <v>0</v>
      </c>
      <c r="M11" s="43">
        <v>0</v>
      </c>
      <c r="N11" s="43">
        <v>0</v>
      </c>
      <c r="O11" s="43">
        <v>0</v>
      </c>
      <c r="P11" s="44">
        <v>0</v>
      </c>
      <c r="Q11" s="42"/>
      <c r="R11" s="44">
        <v>8</v>
      </c>
      <c r="S11" s="44">
        <v>0</v>
      </c>
      <c r="T11" s="44">
        <v>0</v>
      </c>
      <c r="U11" s="44">
        <v>0</v>
      </c>
      <c r="V11" s="44">
        <v>0</v>
      </c>
      <c r="W11" s="44">
        <v>8</v>
      </c>
      <c r="X11" s="42"/>
      <c r="Y11" s="43">
        <v>80000</v>
      </c>
      <c r="Z11" s="43">
        <v>21733.040000000001</v>
      </c>
      <c r="AA11" s="43">
        <v>0</v>
      </c>
      <c r="AB11" s="43">
        <v>101733.04000000001</v>
      </c>
      <c r="AC11" s="43">
        <v>0</v>
      </c>
      <c r="AD11" s="43">
        <v>101733.04000000001</v>
      </c>
      <c r="AE11" s="44"/>
      <c r="AF11" s="44"/>
    </row>
    <row r="12" spans="1:32" ht="15" customHeight="1" x14ac:dyDescent="0.25">
      <c r="A12" s="42" t="s">
        <v>39</v>
      </c>
      <c r="B12" s="42">
        <v>2436</v>
      </c>
      <c r="C12" s="42"/>
      <c r="D12" s="43">
        <v>1</v>
      </c>
      <c r="E12" s="43">
        <v>0</v>
      </c>
      <c r="F12" s="43">
        <v>0</v>
      </c>
      <c r="G12" s="43">
        <v>3</v>
      </c>
      <c r="H12" s="43">
        <v>0</v>
      </c>
      <c r="I12" s="44">
        <v>4</v>
      </c>
      <c r="J12" s="42"/>
      <c r="K12" s="43">
        <v>0</v>
      </c>
      <c r="L12" s="43">
        <v>0</v>
      </c>
      <c r="M12" s="43">
        <v>0</v>
      </c>
      <c r="N12" s="43">
        <v>2</v>
      </c>
      <c r="O12" s="43">
        <v>0</v>
      </c>
      <c r="P12" s="44">
        <v>2</v>
      </c>
      <c r="Q12" s="42"/>
      <c r="R12" s="44">
        <v>1</v>
      </c>
      <c r="S12" s="44">
        <v>0</v>
      </c>
      <c r="T12" s="44">
        <v>0</v>
      </c>
      <c r="U12" s="44">
        <v>5</v>
      </c>
      <c r="V12" s="44">
        <v>0</v>
      </c>
      <c r="W12" s="44">
        <v>6</v>
      </c>
      <c r="X12" s="42"/>
      <c r="Y12" s="43">
        <v>60000</v>
      </c>
      <c r="Z12" s="43">
        <v>68940.149999999994</v>
      </c>
      <c r="AA12" s="43">
        <v>0</v>
      </c>
      <c r="AB12" s="43">
        <v>128940.15</v>
      </c>
      <c r="AC12" s="43">
        <v>45960.1</v>
      </c>
      <c r="AD12" s="43">
        <v>174900.25</v>
      </c>
      <c r="AE12" s="44"/>
      <c r="AF12" s="44"/>
    </row>
    <row r="13" spans="1:32" ht="15" customHeight="1" x14ac:dyDescent="0.25">
      <c r="A13" s="42" t="s">
        <v>52</v>
      </c>
      <c r="B13" s="42">
        <v>2000</v>
      </c>
      <c r="C13" s="42"/>
      <c r="D13" s="43">
        <v>3</v>
      </c>
      <c r="E13" s="43">
        <v>9</v>
      </c>
      <c r="F13" s="43">
        <v>11</v>
      </c>
      <c r="G13" s="43">
        <v>3</v>
      </c>
      <c r="H13" s="43">
        <v>1</v>
      </c>
      <c r="I13" s="44">
        <v>27</v>
      </c>
      <c r="J13" s="42"/>
      <c r="K13" s="43">
        <v>0</v>
      </c>
      <c r="L13" s="43">
        <v>0</v>
      </c>
      <c r="M13" s="43">
        <v>1</v>
      </c>
      <c r="N13" s="43">
        <v>0</v>
      </c>
      <c r="O13" s="43">
        <v>0</v>
      </c>
      <c r="P13" s="44">
        <v>1</v>
      </c>
      <c r="Q13" s="42"/>
      <c r="R13" s="44">
        <v>3</v>
      </c>
      <c r="S13" s="44">
        <v>9</v>
      </c>
      <c r="T13" s="44">
        <v>12</v>
      </c>
      <c r="U13" s="44">
        <v>3</v>
      </c>
      <c r="V13" s="44">
        <v>1</v>
      </c>
      <c r="W13" s="44">
        <v>28</v>
      </c>
      <c r="X13" s="42"/>
      <c r="Y13" s="43">
        <v>280000</v>
      </c>
      <c r="Z13" s="43">
        <v>166108.005</v>
      </c>
      <c r="AA13" s="43">
        <v>0</v>
      </c>
      <c r="AB13" s="43">
        <v>446108.005</v>
      </c>
      <c r="AC13" s="43">
        <v>7091.0150000000003</v>
      </c>
      <c r="AD13" s="43">
        <v>453199.02</v>
      </c>
      <c r="AE13" s="44"/>
      <c r="AF13" s="44"/>
    </row>
    <row r="14" spans="1:32" ht="15" customHeight="1" x14ac:dyDescent="0.25">
      <c r="A14" s="42" t="s">
        <v>704</v>
      </c>
      <c r="B14" s="42">
        <v>4607</v>
      </c>
      <c r="C14" s="42"/>
      <c r="D14" s="43">
        <v>0</v>
      </c>
      <c r="E14" s="43">
        <v>0</v>
      </c>
      <c r="F14" s="43">
        <v>0</v>
      </c>
      <c r="G14" s="43">
        <v>14</v>
      </c>
      <c r="H14" s="43">
        <v>0</v>
      </c>
      <c r="I14" s="43">
        <v>14</v>
      </c>
      <c r="J14" s="42"/>
      <c r="K14" s="43">
        <v>0</v>
      </c>
      <c r="L14" s="43">
        <v>0</v>
      </c>
      <c r="M14" s="43">
        <v>0</v>
      </c>
      <c r="N14" s="43">
        <v>8</v>
      </c>
      <c r="O14" s="43">
        <v>0</v>
      </c>
      <c r="P14" s="44">
        <v>8</v>
      </c>
      <c r="Q14" s="42"/>
      <c r="R14" s="44">
        <v>0</v>
      </c>
      <c r="S14" s="44">
        <v>0</v>
      </c>
      <c r="T14" s="44">
        <v>0</v>
      </c>
      <c r="U14" s="44">
        <v>22</v>
      </c>
      <c r="V14" s="44">
        <v>0</v>
      </c>
      <c r="W14" s="44">
        <v>22</v>
      </c>
      <c r="X14" s="42"/>
      <c r="Y14" s="43">
        <v>220000</v>
      </c>
      <c r="Z14" s="43">
        <v>180897.22</v>
      </c>
      <c r="AA14" s="43">
        <v>25000</v>
      </c>
      <c r="AB14" s="43">
        <v>425897.22</v>
      </c>
      <c r="AC14" s="43">
        <v>103369.84</v>
      </c>
      <c r="AD14" s="43">
        <v>529267.05999999994</v>
      </c>
      <c r="AE14" s="44"/>
      <c r="AF14" s="44"/>
    </row>
    <row r="15" spans="1:32" ht="15" customHeight="1" x14ac:dyDescent="0.25">
      <c r="A15" s="42" t="s">
        <v>192</v>
      </c>
      <c r="B15" s="42">
        <v>2466</v>
      </c>
      <c r="C15" s="42"/>
      <c r="D15" s="43">
        <v>0</v>
      </c>
      <c r="E15" s="43">
        <v>1</v>
      </c>
      <c r="F15" s="43">
        <v>10</v>
      </c>
      <c r="G15" s="43">
        <v>3</v>
      </c>
      <c r="H15" s="43">
        <v>0</v>
      </c>
      <c r="I15" s="44">
        <v>14</v>
      </c>
      <c r="J15" s="42"/>
      <c r="K15" s="43">
        <v>0</v>
      </c>
      <c r="L15" s="43">
        <v>0</v>
      </c>
      <c r="M15" s="43">
        <v>0</v>
      </c>
      <c r="N15" s="43">
        <v>0</v>
      </c>
      <c r="O15" s="43">
        <v>0</v>
      </c>
      <c r="P15" s="44">
        <v>0</v>
      </c>
      <c r="Q15" s="42"/>
      <c r="R15" s="44">
        <v>0</v>
      </c>
      <c r="S15" s="44">
        <v>1</v>
      </c>
      <c r="T15" s="44">
        <v>10</v>
      </c>
      <c r="U15" s="44">
        <v>3</v>
      </c>
      <c r="V15" s="44">
        <v>0</v>
      </c>
      <c r="W15" s="44">
        <v>14</v>
      </c>
      <c r="X15" s="42"/>
      <c r="Y15" s="43">
        <v>140000</v>
      </c>
      <c r="Z15" s="43">
        <v>108915.39000000001</v>
      </c>
      <c r="AA15" s="43">
        <v>0</v>
      </c>
      <c r="AB15" s="43">
        <v>248915.39</v>
      </c>
      <c r="AC15" s="43">
        <v>0</v>
      </c>
      <c r="AD15" s="43">
        <v>248915.39</v>
      </c>
      <c r="AE15" s="44"/>
      <c r="AF15" s="44"/>
    </row>
    <row r="16" spans="1:32" ht="15" customHeight="1" x14ac:dyDescent="0.25">
      <c r="A16" s="42" t="s">
        <v>705</v>
      </c>
      <c r="B16" s="42">
        <v>5414</v>
      </c>
      <c r="C16" s="42"/>
      <c r="D16" s="43">
        <v>0</v>
      </c>
      <c r="E16" s="43">
        <v>13</v>
      </c>
      <c r="F16" s="43">
        <v>0</v>
      </c>
      <c r="G16" s="43">
        <v>0</v>
      </c>
      <c r="H16" s="43">
        <v>0</v>
      </c>
      <c r="I16" s="44">
        <v>13</v>
      </c>
      <c r="J16" s="42"/>
      <c r="K16" s="43">
        <v>0</v>
      </c>
      <c r="L16" s="43">
        <v>1</v>
      </c>
      <c r="M16" s="43">
        <v>0</v>
      </c>
      <c r="N16" s="43">
        <v>0</v>
      </c>
      <c r="O16" s="43">
        <v>0</v>
      </c>
      <c r="P16" s="44">
        <v>1</v>
      </c>
      <c r="Q16" s="42"/>
      <c r="R16" s="44">
        <v>0</v>
      </c>
      <c r="S16" s="44">
        <v>14</v>
      </c>
      <c r="T16" s="44">
        <v>0</v>
      </c>
      <c r="U16" s="44">
        <v>0</v>
      </c>
      <c r="V16" s="44">
        <v>0</v>
      </c>
      <c r="W16" s="44">
        <v>14</v>
      </c>
      <c r="X16" s="42"/>
      <c r="Y16" s="43">
        <v>140000</v>
      </c>
      <c r="Z16" s="43">
        <v>68506.75</v>
      </c>
      <c r="AA16" s="43">
        <v>0</v>
      </c>
      <c r="AB16" s="43">
        <v>208506.75</v>
      </c>
      <c r="AC16" s="43">
        <v>5269.75</v>
      </c>
      <c r="AD16" s="43">
        <v>213776.5</v>
      </c>
      <c r="AE16" s="44"/>
      <c r="AF16" s="44"/>
    </row>
    <row r="17" spans="1:32" ht="15" customHeight="1" x14ac:dyDescent="0.25">
      <c r="A17" s="42" t="s">
        <v>193</v>
      </c>
      <c r="B17" s="42">
        <v>2405</v>
      </c>
      <c r="C17" s="42"/>
      <c r="D17" s="43">
        <v>0</v>
      </c>
      <c r="E17" s="43">
        <v>0</v>
      </c>
      <c r="F17" s="43">
        <v>3</v>
      </c>
      <c r="G17" s="43">
        <v>3</v>
      </c>
      <c r="H17" s="43"/>
      <c r="I17" s="44">
        <v>6</v>
      </c>
      <c r="J17" s="42"/>
      <c r="K17" s="43">
        <v>0</v>
      </c>
      <c r="L17" s="43">
        <v>0</v>
      </c>
      <c r="M17" s="43">
        <v>0</v>
      </c>
      <c r="N17" s="43">
        <v>0</v>
      </c>
      <c r="O17" s="43">
        <v>0</v>
      </c>
      <c r="P17" s="44">
        <v>0</v>
      </c>
      <c r="Q17" s="42"/>
      <c r="R17" s="44">
        <v>0</v>
      </c>
      <c r="S17" s="44">
        <v>0</v>
      </c>
      <c r="T17" s="44">
        <v>3</v>
      </c>
      <c r="U17" s="44">
        <v>3</v>
      </c>
      <c r="V17" s="44">
        <v>0</v>
      </c>
      <c r="W17" s="44">
        <v>6</v>
      </c>
      <c r="X17" s="42"/>
      <c r="Y17" s="43">
        <v>60000</v>
      </c>
      <c r="Z17" s="43">
        <v>55515.585000000006</v>
      </c>
      <c r="AA17" s="43">
        <v>0</v>
      </c>
      <c r="AB17" s="43">
        <v>115515.58500000001</v>
      </c>
      <c r="AC17" s="43">
        <v>0</v>
      </c>
      <c r="AD17" s="43">
        <v>115515.58500000001</v>
      </c>
      <c r="AE17" s="44"/>
      <c r="AF17" s="44"/>
    </row>
    <row r="18" spans="1:32" ht="15" customHeight="1" x14ac:dyDescent="0.25">
      <c r="A18" s="42" t="s">
        <v>194</v>
      </c>
      <c r="B18" s="42">
        <v>2434</v>
      </c>
      <c r="C18" s="42"/>
      <c r="D18" s="43">
        <v>0</v>
      </c>
      <c r="E18" s="43">
        <v>0</v>
      </c>
      <c r="F18" s="43">
        <v>9</v>
      </c>
      <c r="G18" s="43">
        <v>3</v>
      </c>
      <c r="H18" s="43"/>
      <c r="I18" s="44">
        <v>12</v>
      </c>
      <c r="J18" s="42"/>
      <c r="K18" s="43">
        <v>0</v>
      </c>
      <c r="L18" s="43">
        <v>0</v>
      </c>
      <c r="M18" s="43">
        <v>0</v>
      </c>
      <c r="N18" s="43">
        <v>0</v>
      </c>
      <c r="O18" s="43">
        <v>0</v>
      </c>
      <c r="P18" s="44">
        <v>0</v>
      </c>
      <c r="Q18" s="42"/>
      <c r="R18" s="44">
        <v>0</v>
      </c>
      <c r="S18" s="44">
        <v>0</v>
      </c>
      <c r="T18" s="44">
        <v>9</v>
      </c>
      <c r="U18" s="44">
        <v>3</v>
      </c>
      <c r="V18" s="44">
        <v>0</v>
      </c>
      <c r="W18" s="44">
        <v>12</v>
      </c>
      <c r="X18" s="42"/>
      <c r="Y18" s="43">
        <v>120000</v>
      </c>
      <c r="Z18" s="43">
        <v>98061.675000000003</v>
      </c>
      <c r="AA18" s="43">
        <v>0</v>
      </c>
      <c r="AB18" s="43">
        <v>218061.67499999999</v>
      </c>
      <c r="AC18" s="43">
        <v>0</v>
      </c>
      <c r="AD18" s="43">
        <v>218061.67499999999</v>
      </c>
      <c r="AE18" s="44"/>
      <c r="AF18" s="44"/>
    </row>
    <row r="19" spans="1:32" ht="15" customHeight="1" x14ac:dyDescent="0.25">
      <c r="A19" s="44"/>
      <c r="B19" s="44"/>
      <c r="C19" s="42"/>
      <c r="D19" s="43"/>
      <c r="E19" s="43"/>
      <c r="F19" s="43"/>
      <c r="G19" s="43"/>
      <c r="H19" s="43"/>
      <c r="I19" s="44"/>
      <c r="J19" s="42"/>
      <c r="K19" s="43"/>
      <c r="L19" s="43"/>
      <c r="M19" s="43"/>
      <c r="N19" s="43"/>
      <c r="O19" s="43">
        <v>0</v>
      </c>
      <c r="P19" s="44"/>
      <c r="Q19" s="42"/>
      <c r="R19" s="44"/>
      <c r="S19" s="44"/>
      <c r="T19" s="44"/>
      <c r="U19" s="44"/>
      <c r="V19" s="44"/>
      <c r="W19" s="44"/>
      <c r="X19" s="42"/>
      <c r="Y19" s="43"/>
      <c r="Z19" s="43"/>
      <c r="AA19" s="43"/>
      <c r="AB19" s="43"/>
      <c r="AC19" s="43"/>
      <c r="AD19" s="43"/>
      <c r="AE19" s="44"/>
      <c r="AF19" s="44"/>
    </row>
    <row r="20" spans="1:32" s="40" customFormat="1" ht="15" customHeight="1" thickBot="1" x14ac:dyDescent="0.3">
      <c r="A20" s="41" t="s">
        <v>195</v>
      </c>
      <c r="B20" s="41"/>
      <c r="C20" s="472"/>
      <c r="D20" s="473">
        <v>21</v>
      </c>
      <c r="E20" s="473">
        <v>50</v>
      </c>
      <c r="F20" s="473">
        <v>86</v>
      </c>
      <c r="G20" s="473">
        <v>72</v>
      </c>
      <c r="H20" s="473">
        <v>1</v>
      </c>
      <c r="I20" s="473">
        <v>230</v>
      </c>
      <c r="J20" s="472"/>
      <c r="K20" s="473">
        <v>0</v>
      </c>
      <c r="L20" s="473">
        <v>1</v>
      </c>
      <c r="M20" s="473">
        <v>4</v>
      </c>
      <c r="N20" s="473">
        <v>10</v>
      </c>
      <c r="O20" s="473">
        <v>0</v>
      </c>
      <c r="P20" s="473">
        <v>15</v>
      </c>
      <c r="Q20" s="472"/>
      <c r="R20" s="473">
        <v>21</v>
      </c>
      <c r="S20" s="473">
        <v>51</v>
      </c>
      <c r="T20" s="473">
        <v>90</v>
      </c>
      <c r="U20" s="473">
        <v>82</v>
      </c>
      <c r="V20" s="473">
        <v>1</v>
      </c>
      <c r="W20" s="473">
        <v>245</v>
      </c>
      <c r="X20" s="472"/>
      <c r="Y20" s="474">
        <v>2450000</v>
      </c>
      <c r="Z20" s="474">
        <v>1801391.2149999996</v>
      </c>
      <c r="AA20" s="474">
        <v>25000</v>
      </c>
      <c r="AB20" s="474">
        <v>4276391.2149999999</v>
      </c>
      <c r="AC20" s="474">
        <v>185065.74</v>
      </c>
      <c r="AD20" s="474">
        <v>4461456.9550000001</v>
      </c>
      <c r="AE20" s="41"/>
      <c r="AF20" s="41"/>
    </row>
    <row r="21" spans="1:32" ht="15" customHeight="1" x14ac:dyDescent="0.25">
      <c r="A21" s="44"/>
      <c r="B21" s="44"/>
      <c r="C21" s="42"/>
      <c r="D21" s="42"/>
      <c r="E21" s="42"/>
      <c r="F21" s="42"/>
      <c r="G21" s="42"/>
      <c r="H21" s="42"/>
      <c r="I21" s="42"/>
      <c r="J21" s="42"/>
      <c r="K21" s="42"/>
      <c r="L21" s="42"/>
      <c r="M21" s="42"/>
      <c r="N21" s="42"/>
      <c r="O21" s="42"/>
      <c r="P21" s="42"/>
      <c r="Q21" s="42"/>
      <c r="R21" s="42"/>
      <c r="S21" s="42"/>
      <c r="T21" s="42"/>
      <c r="U21" s="44"/>
      <c r="V21" s="44"/>
      <c r="W21" s="42"/>
      <c r="X21" s="42"/>
      <c r="Y21" s="43"/>
      <c r="Z21" s="43"/>
      <c r="AA21" s="43"/>
      <c r="AB21" s="43"/>
      <c r="AC21" s="43"/>
      <c r="AD21" s="43"/>
      <c r="AE21" s="44"/>
      <c r="AF21" s="44"/>
    </row>
    <row r="22" spans="1:32" ht="15" customHeight="1" x14ac:dyDescent="0.25">
      <c r="A22" s="40" t="s">
        <v>706</v>
      </c>
      <c r="B22" s="40"/>
      <c r="D22" s="49" t="s">
        <v>161</v>
      </c>
      <c r="E22" s="49" t="s">
        <v>162</v>
      </c>
      <c r="F22" s="49" t="s">
        <v>163</v>
      </c>
      <c r="G22" s="49" t="s">
        <v>164</v>
      </c>
      <c r="H22" s="49"/>
      <c r="I22" s="49" t="s">
        <v>149</v>
      </c>
      <c r="J22" s="50"/>
      <c r="K22" s="49" t="s">
        <v>161</v>
      </c>
      <c r="L22" s="49" t="s">
        <v>162</v>
      </c>
      <c r="M22" s="49" t="s">
        <v>163</v>
      </c>
      <c r="N22" s="49" t="s">
        <v>164</v>
      </c>
      <c r="O22" s="49" t="s">
        <v>700</v>
      </c>
      <c r="P22" s="49" t="s">
        <v>149</v>
      </c>
      <c r="R22" s="49" t="s">
        <v>161</v>
      </c>
      <c r="S22" s="49" t="s">
        <v>162</v>
      </c>
      <c r="T22" s="49" t="s">
        <v>163</v>
      </c>
      <c r="U22" s="49" t="s">
        <v>164</v>
      </c>
      <c r="V22" s="49" t="s">
        <v>700</v>
      </c>
      <c r="W22" s="49" t="s">
        <v>149</v>
      </c>
      <c r="X22" s="50"/>
      <c r="Y22" s="49"/>
      <c r="Z22" s="49"/>
      <c r="AA22" s="49"/>
      <c r="AB22" s="49"/>
      <c r="AC22" s="49"/>
      <c r="AD22" s="49"/>
    </row>
    <row r="23" spans="1:32" ht="15" customHeight="1" x14ac:dyDescent="0.25">
      <c r="A23" s="42" t="s">
        <v>703</v>
      </c>
      <c r="B23" s="42">
        <v>4181</v>
      </c>
      <c r="C23" s="42"/>
      <c r="D23" s="43">
        <v>4</v>
      </c>
      <c r="E23" s="43">
        <v>0</v>
      </c>
      <c r="F23" s="43">
        <v>0</v>
      </c>
      <c r="G23" s="43">
        <v>0</v>
      </c>
      <c r="H23" s="43"/>
      <c r="I23" s="44">
        <v>4</v>
      </c>
      <c r="J23" s="42"/>
      <c r="K23" s="43">
        <v>0</v>
      </c>
      <c r="L23" s="43">
        <v>0</v>
      </c>
      <c r="M23" s="43">
        <v>0</v>
      </c>
      <c r="N23" s="43">
        <v>0</v>
      </c>
      <c r="O23" s="43">
        <v>0</v>
      </c>
      <c r="P23" s="44">
        <v>0</v>
      </c>
      <c r="Q23" s="42"/>
      <c r="R23" s="44">
        <v>4</v>
      </c>
      <c r="S23" s="44">
        <v>0</v>
      </c>
      <c r="T23" s="44">
        <v>0</v>
      </c>
      <c r="U23" s="44">
        <v>0</v>
      </c>
      <c r="V23" s="44">
        <v>0</v>
      </c>
      <c r="W23" s="44">
        <v>4</v>
      </c>
      <c r="X23" s="42"/>
      <c r="Y23" s="43">
        <v>40000</v>
      </c>
      <c r="Z23" s="43">
        <v>15522.52</v>
      </c>
      <c r="AA23" s="43">
        <v>0</v>
      </c>
      <c r="AB23" s="43">
        <v>55522.520000000004</v>
      </c>
      <c r="AC23" s="43">
        <v>0</v>
      </c>
      <c r="AD23" s="43">
        <v>55522.520000000004</v>
      </c>
      <c r="AE23" s="44"/>
      <c r="AF23" s="44"/>
    </row>
    <row r="24" spans="1:32" ht="15" customHeight="1" x14ac:dyDescent="0.25">
      <c r="A24" s="42" t="s">
        <v>704</v>
      </c>
      <c r="B24" s="42">
        <v>4607</v>
      </c>
      <c r="C24" s="42"/>
      <c r="D24" s="43">
        <v>0</v>
      </c>
      <c r="E24" s="43">
        <v>0</v>
      </c>
      <c r="F24" s="43">
        <v>0</v>
      </c>
      <c r="G24" s="43">
        <v>3</v>
      </c>
      <c r="H24" s="43"/>
      <c r="I24" s="44">
        <v>3</v>
      </c>
      <c r="J24" s="42"/>
      <c r="K24" s="43">
        <v>0</v>
      </c>
      <c r="L24" s="43">
        <v>0</v>
      </c>
      <c r="M24" s="43">
        <v>0</v>
      </c>
      <c r="N24" s="43">
        <v>2</v>
      </c>
      <c r="O24" s="43">
        <v>0</v>
      </c>
      <c r="P24" s="44">
        <v>2</v>
      </c>
      <c r="Q24" s="42"/>
      <c r="R24" s="44">
        <v>0</v>
      </c>
      <c r="S24" s="44">
        <v>0</v>
      </c>
      <c r="T24" s="44">
        <v>0</v>
      </c>
      <c r="U24" s="44">
        <v>5</v>
      </c>
      <c r="V24" s="44">
        <v>0</v>
      </c>
      <c r="W24" s="44">
        <v>5</v>
      </c>
      <c r="X24" s="42"/>
      <c r="Y24" s="43">
        <v>50000</v>
      </c>
      <c r="Z24" s="43">
        <v>42255.69</v>
      </c>
      <c r="AA24" s="43">
        <v>0</v>
      </c>
      <c r="AB24" s="43">
        <v>92255.69</v>
      </c>
      <c r="AC24" s="43">
        <v>28170.46</v>
      </c>
      <c r="AD24" s="43">
        <v>120426.15</v>
      </c>
      <c r="AE24" s="44"/>
      <c r="AF24" s="44"/>
    </row>
    <row r="25" spans="1:32" ht="15" customHeight="1" x14ac:dyDescent="0.25">
      <c r="A25" s="44"/>
      <c r="B25" s="44"/>
      <c r="C25" s="42"/>
      <c r="D25" s="43"/>
      <c r="E25" s="43"/>
      <c r="F25" s="43"/>
      <c r="G25" s="43"/>
      <c r="H25" s="43"/>
      <c r="I25" s="44"/>
      <c r="J25" s="42"/>
      <c r="K25" s="43"/>
      <c r="L25" s="43"/>
      <c r="M25" s="43"/>
      <c r="N25" s="43"/>
      <c r="O25" s="43"/>
      <c r="P25" s="44"/>
      <c r="Q25" s="42"/>
      <c r="R25" s="44"/>
      <c r="S25" s="44"/>
      <c r="T25" s="44"/>
      <c r="U25" s="44"/>
      <c r="V25" s="44"/>
      <c r="W25" s="44"/>
      <c r="X25" s="42"/>
      <c r="Y25" s="43"/>
      <c r="Z25" s="43"/>
      <c r="AA25" s="43"/>
      <c r="AB25" s="43"/>
      <c r="AC25" s="43"/>
      <c r="AD25" s="43"/>
      <c r="AE25" s="44"/>
      <c r="AF25" s="44"/>
    </row>
    <row r="26" spans="1:32" s="40" customFormat="1" ht="15" customHeight="1" thickBot="1" x14ac:dyDescent="0.3">
      <c r="A26" s="41" t="s">
        <v>196</v>
      </c>
      <c r="B26" s="41"/>
      <c r="C26" s="472"/>
      <c r="D26" s="473">
        <v>4</v>
      </c>
      <c r="E26" s="473">
        <v>0</v>
      </c>
      <c r="F26" s="473">
        <v>0</v>
      </c>
      <c r="G26" s="473">
        <v>3</v>
      </c>
      <c r="H26" s="473">
        <v>0</v>
      </c>
      <c r="I26" s="473">
        <v>7</v>
      </c>
      <c r="J26" s="472"/>
      <c r="K26" s="473">
        <v>0</v>
      </c>
      <c r="L26" s="473">
        <v>0</v>
      </c>
      <c r="M26" s="473">
        <v>0</v>
      </c>
      <c r="N26" s="473">
        <v>2</v>
      </c>
      <c r="O26" s="473">
        <v>0</v>
      </c>
      <c r="P26" s="473">
        <v>2</v>
      </c>
      <c r="Q26" s="472"/>
      <c r="R26" s="473">
        <v>4</v>
      </c>
      <c r="S26" s="473">
        <v>0</v>
      </c>
      <c r="T26" s="473">
        <v>0</v>
      </c>
      <c r="U26" s="473">
        <v>5</v>
      </c>
      <c r="V26" s="473">
        <v>0</v>
      </c>
      <c r="W26" s="473">
        <v>9</v>
      </c>
      <c r="X26" s="472"/>
      <c r="Y26" s="474">
        <v>90000</v>
      </c>
      <c r="Z26" s="474">
        <v>57778.210000000006</v>
      </c>
      <c r="AA26" s="474">
        <v>0</v>
      </c>
      <c r="AB26" s="474">
        <v>147778.21000000002</v>
      </c>
      <c r="AC26" s="474">
        <v>28170.46</v>
      </c>
      <c r="AD26" s="474">
        <v>175948.66999999998</v>
      </c>
      <c r="AE26" s="41"/>
      <c r="AF26" s="41"/>
    </row>
    <row r="27" spans="1:32" ht="15" customHeight="1" x14ac:dyDescent="0.25"/>
    <row r="28" spans="1:32" s="40" customFormat="1" ht="15" customHeight="1" thickBot="1" x14ac:dyDescent="0.3">
      <c r="A28" s="41" t="s">
        <v>197</v>
      </c>
      <c r="B28" s="41"/>
      <c r="C28" s="476"/>
      <c r="D28" s="477">
        <v>25</v>
      </c>
      <c r="E28" s="477">
        <v>50</v>
      </c>
      <c r="F28" s="477">
        <v>86</v>
      </c>
      <c r="G28" s="477">
        <v>75</v>
      </c>
      <c r="H28" s="477">
        <v>1</v>
      </c>
      <c r="I28" s="477">
        <v>237</v>
      </c>
      <c r="J28" s="476"/>
      <c r="K28" s="477">
        <v>0</v>
      </c>
      <c r="L28" s="477">
        <v>1</v>
      </c>
      <c r="M28" s="477">
        <v>4</v>
      </c>
      <c r="N28" s="477">
        <v>12</v>
      </c>
      <c r="O28" s="477">
        <v>0</v>
      </c>
      <c r="P28" s="477">
        <v>17</v>
      </c>
      <c r="Q28" s="476"/>
      <c r="R28" s="477">
        <v>25</v>
      </c>
      <c r="S28" s="477">
        <v>51</v>
      </c>
      <c r="T28" s="477">
        <v>90</v>
      </c>
      <c r="U28" s="477">
        <v>87</v>
      </c>
      <c r="V28" s="477">
        <v>1</v>
      </c>
      <c r="W28" s="477">
        <v>254</v>
      </c>
      <c r="X28" s="476"/>
      <c r="Y28" s="478">
        <v>2540000</v>
      </c>
      <c r="Z28" s="478">
        <v>1859169.4249999996</v>
      </c>
      <c r="AA28" s="478">
        <v>25000</v>
      </c>
      <c r="AB28" s="478">
        <v>4424169.4249999998</v>
      </c>
      <c r="AC28" s="478">
        <v>213236.19999999998</v>
      </c>
      <c r="AD28" s="478">
        <v>4637405.625</v>
      </c>
    </row>
    <row r="29" spans="1:32" ht="15" customHeight="1" x14ac:dyDescent="0.25"/>
    <row r="30" spans="1:32" x14ac:dyDescent="0.25">
      <c r="A30" s="45" t="s">
        <v>709</v>
      </c>
    </row>
    <row r="31" spans="1:32" x14ac:dyDescent="0.25">
      <c r="A31" s="45" t="s">
        <v>707</v>
      </c>
    </row>
    <row r="32" spans="1:32" x14ac:dyDescent="0.25">
      <c r="A32" s="45" t="s">
        <v>708</v>
      </c>
    </row>
    <row r="34" spans="1:31" x14ac:dyDescent="0.25">
      <c r="A34" s="40" t="s">
        <v>147</v>
      </c>
    </row>
    <row r="35" spans="1:31" x14ac:dyDescent="0.25">
      <c r="A35" s="55" t="s">
        <v>4</v>
      </c>
      <c r="B35" s="54">
        <v>1006</v>
      </c>
      <c r="AB35" s="43"/>
      <c r="AC35" s="43"/>
      <c r="AD35" s="43"/>
      <c r="AE35" s="46">
        <v>142055</v>
      </c>
    </row>
    <row r="36" spans="1:31" x14ac:dyDescent="0.25">
      <c r="A36" s="55" t="s">
        <v>6</v>
      </c>
      <c r="B36" s="54">
        <v>1005</v>
      </c>
      <c r="AB36" s="43"/>
      <c r="AC36" s="43"/>
      <c r="AD36" s="43"/>
      <c r="AE36" s="46">
        <v>110000</v>
      </c>
    </row>
    <row r="37" spans="1:31" x14ac:dyDescent="0.25">
      <c r="AB37" s="43"/>
      <c r="AC37" s="43"/>
      <c r="AD37" s="43"/>
    </row>
    <row r="38" spans="1:31" ht="15.75" thickBot="1" x14ac:dyDescent="0.3">
      <c r="AE38" s="474">
        <v>252055</v>
      </c>
    </row>
    <row r="44" spans="1:31" x14ac:dyDescent="0.25">
      <c r="A44" s="79" t="s">
        <v>249</v>
      </c>
      <c r="B44" s="79">
        <v>206189</v>
      </c>
    </row>
    <row r="45" spans="1:31" x14ac:dyDescent="0.25">
      <c r="A45" s="1158" t="s">
        <v>10</v>
      </c>
      <c r="B45" s="94">
        <v>2012</v>
      </c>
    </row>
    <row r="46" spans="1:31" x14ac:dyDescent="0.25">
      <c r="A46" s="1158" t="s">
        <v>73</v>
      </c>
      <c r="B46" s="94">
        <v>5414</v>
      </c>
    </row>
    <row r="47" spans="1:31" x14ac:dyDescent="0.25">
      <c r="A47" s="1158" t="s">
        <v>912</v>
      </c>
      <c r="B47" s="94">
        <v>4000</v>
      </c>
    </row>
    <row r="48" spans="1:31" x14ac:dyDescent="0.25">
      <c r="A48" s="79" t="s">
        <v>11</v>
      </c>
      <c r="B48" s="79">
        <v>2443</v>
      </c>
    </row>
    <row r="49" spans="1:2" x14ac:dyDescent="0.25">
      <c r="A49" s="1158" t="s">
        <v>94</v>
      </c>
      <c r="B49" s="94">
        <v>2442</v>
      </c>
    </row>
    <row r="50" spans="1:2" x14ac:dyDescent="0.25">
      <c r="A50" s="80" t="s">
        <v>252</v>
      </c>
      <c r="B50" s="80" t="s">
        <v>253</v>
      </c>
    </row>
    <row r="51" spans="1:2" x14ac:dyDescent="0.25">
      <c r="A51" s="79" t="s">
        <v>13</v>
      </c>
      <c r="B51" s="79">
        <v>2629</v>
      </c>
    </row>
    <row r="52" spans="1:2" x14ac:dyDescent="0.25">
      <c r="A52" s="1158" t="s">
        <v>14</v>
      </c>
      <c r="B52" s="94">
        <v>2509</v>
      </c>
    </row>
    <row r="53" spans="1:2" x14ac:dyDescent="0.25">
      <c r="A53" s="79" t="s">
        <v>2</v>
      </c>
      <c r="B53" s="79">
        <v>1014</v>
      </c>
    </row>
    <row r="54" spans="1:2" x14ac:dyDescent="0.25">
      <c r="A54" s="1158" t="s">
        <v>15</v>
      </c>
      <c r="B54" s="94">
        <v>2005</v>
      </c>
    </row>
    <row r="55" spans="1:2" x14ac:dyDescent="0.25">
      <c r="A55" s="79" t="s">
        <v>16</v>
      </c>
      <c r="B55" s="79">
        <v>2464</v>
      </c>
    </row>
    <row r="56" spans="1:2" x14ac:dyDescent="0.25">
      <c r="A56" s="661" t="s">
        <v>763</v>
      </c>
      <c r="B56" s="697" t="s">
        <v>765</v>
      </c>
    </row>
    <row r="57" spans="1:2" x14ac:dyDescent="0.25">
      <c r="A57" s="79" t="s">
        <v>17</v>
      </c>
      <c r="B57" s="79">
        <v>2004</v>
      </c>
    </row>
    <row r="58" spans="1:2" x14ac:dyDescent="0.25">
      <c r="A58" s="79" t="s">
        <v>18</v>
      </c>
      <c r="B58" s="79">
        <v>2405</v>
      </c>
    </row>
    <row r="59" spans="1:2" x14ac:dyDescent="0.25">
      <c r="A59" s="79" t="s">
        <v>254</v>
      </c>
      <c r="B59" s="79" t="s">
        <v>256</v>
      </c>
    </row>
    <row r="60" spans="1:2" x14ac:dyDescent="0.25">
      <c r="A60" s="1160" t="s">
        <v>261</v>
      </c>
      <c r="B60" s="1162" t="s">
        <v>766</v>
      </c>
    </row>
    <row r="61" spans="1:2" x14ac:dyDescent="0.25">
      <c r="A61" s="1163" t="s">
        <v>257</v>
      </c>
      <c r="B61" s="1164" t="s">
        <v>258</v>
      </c>
    </row>
    <row r="62" spans="1:2" x14ac:dyDescent="0.25">
      <c r="A62" s="1160" t="s">
        <v>259</v>
      </c>
      <c r="B62" s="1165" t="s">
        <v>260</v>
      </c>
    </row>
    <row r="63" spans="1:2" x14ac:dyDescent="0.25">
      <c r="A63" s="79" t="s">
        <v>19</v>
      </c>
      <c r="B63" s="79">
        <v>2011</v>
      </c>
    </row>
    <row r="64" spans="1:2" x14ac:dyDescent="0.25">
      <c r="A64" s="80" t="s">
        <v>262</v>
      </c>
      <c r="B64" s="80" t="s">
        <v>263</v>
      </c>
    </row>
    <row r="65" spans="1:2" x14ac:dyDescent="0.25">
      <c r="A65" s="79" t="s">
        <v>20</v>
      </c>
      <c r="B65" s="79">
        <v>5201</v>
      </c>
    </row>
    <row r="66" spans="1:2" x14ac:dyDescent="0.25">
      <c r="A66" s="79" t="s">
        <v>264</v>
      </c>
      <c r="B66" s="79">
        <v>206124</v>
      </c>
    </row>
    <row r="67" spans="1:2" x14ac:dyDescent="0.25">
      <c r="A67" s="79" t="s">
        <v>21</v>
      </c>
      <c r="B67" s="79">
        <v>2433</v>
      </c>
    </row>
    <row r="68" spans="1:2" x14ac:dyDescent="0.25">
      <c r="A68" s="1158" t="s">
        <v>22</v>
      </c>
      <c r="B68" s="94">
        <v>2432</v>
      </c>
    </row>
    <row r="69" spans="1:2" x14ac:dyDescent="0.25">
      <c r="A69" s="79" t="s">
        <v>267</v>
      </c>
      <c r="B69" s="79" t="s">
        <v>269</v>
      </c>
    </row>
    <row r="70" spans="1:2" x14ac:dyDescent="0.25">
      <c r="A70" s="79" t="s">
        <v>199</v>
      </c>
      <c r="B70" s="79">
        <v>2447</v>
      </c>
    </row>
    <row r="71" spans="1:2" x14ac:dyDescent="0.25">
      <c r="A71" s="79" t="s">
        <v>23</v>
      </c>
      <c r="B71" s="79">
        <v>2512</v>
      </c>
    </row>
    <row r="72" spans="1:2" x14ac:dyDescent="0.25">
      <c r="A72" s="79" t="s">
        <v>270</v>
      </c>
      <c r="B72" s="79">
        <v>206126</v>
      </c>
    </row>
    <row r="73" spans="1:2" x14ac:dyDescent="0.25">
      <c r="A73" s="79" t="s">
        <v>272</v>
      </c>
      <c r="B73" s="79">
        <v>206111</v>
      </c>
    </row>
    <row r="74" spans="1:2" x14ac:dyDescent="0.25">
      <c r="A74" s="79" t="s">
        <v>274</v>
      </c>
      <c r="B74" s="79">
        <v>206091</v>
      </c>
    </row>
    <row r="75" spans="1:2" x14ac:dyDescent="0.25">
      <c r="A75" s="79" t="s">
        <v>24</v>
      </c>
      <c r="B75" s="79">
        <v>2456</v>
      </c>
    </row>
    <row r="76" spans="1:2" x14ac:dyDescent="0.25">
      <c r="A76" s="79" t="s">
        <v>3</v>
      </c>
      <c r="B76" s="79">
        <v>1017</v>
      </c>
    </row>
    <row r="77" spans="1:2" x14ac:dyDescent="0.25">
      <c r="A77" s="79" t="s">
        <v>25</v>
      </c>
      <c r="B77" s="79">
        <v>2449</v>
      </c>
    </row>
    <row r="78" spans="1:2" x14ac:dyDescent="0.25">
      <c r="A78" s="1158" t="s">
        <v>26</v>
      </c>
      <c r="B78" s="79">
        <v>2448</v>
      </c>
    </row>
    <row r="79" spans="1:2" x14ac:dyDescent="0.25">
      <c r="A79" s="79" t="s">
        <v>4</v>
      </c>
      <c r="B79" s="79">
        <v>1006</v>
      </c>
    </row>
    <row r="80" spans="1:2" x14ac:dyDescent="0.25">
      <c r="A80" s="79" t="s">
        <v>27</v>
      </c>
      <c r="B80" s="79">
        <v>2467</v>
      </c>
    </row>
    <row r="81" spans="1:2" x14ac:dyDescent="0.25">
      <c r="A81" s="1158" t="s">
        <v>75</v>
      </c>
      <c r="B81" s="94">
        <v>5402</v>
      </c>
    </row>
    <row r="82" spans="1:2" x14ac:dyDescent="0.25">
      <c r="A82" s="1158" t="s">
        <v>28</v>
      </c>
      <c r="B82" s="94">
        <v>2455</v>
      </c>
    </row>
    <row r="83" spans="1:2" x14ac:dyDescent="0.25">
      <c r="A83" s="1158" t="s">
        <v>29</v>
      </c>
      <c r="B83" s="94">
        <v>5203</v>
      </c>
    </row>
    <row r="84" spans="1:2" x14ac:dyDescent="0.25">
      <c r="A84" s="107" t="s">
        <v>30</v>
      </c>
      <c r="B84" s="79">
        <v>2451</v>
      </c>
    </row>
    <row r="85" spans="1:2" x14ac:dyDescent="0.25">
      <c r="A85" s="80" t="s">
        <v>276</v>
      </c>
      <c r="B85" s="80" t="s">
        <v>277</v>
      </c>
    </row>
    <row r="86" spans="1:2" x14ac:dyDescent="0.25">
      <c r="A86" s="79" t="s">
        <v>278</v>
      </c>
      <c r="B86" s="79">
        <v>206128</v>
      </c>
    </row>
    <row r="87" spans="1:2" x14ac:dyDescent="0.25">
      <c r="A87" s="1158" t="s">
        <v>452</v>
      </c>
      <c r="B87" s="94">
        <v>4002</v>
      </c>
    </row>
    <row r="88" spans="1:2" x14ac:dyDescent="0.25">
      <c r="A88" s="456" t="s">
        <v>455</v>
      </c>
      <c r="B88" s="79">
        <v>2430</v>
      </c>
    </row>
    <row r="89" spans="1:2" x14ac:dyDescent="0.25">
      <c r="A89" s="1167" t="s">
        <v>768</v>
      </c>
      <c r="B89" s="1169" t="s">
        <v>769</v>
      </c>
    </row>
    <row r="90" spans="1:2" x14ac:dyDescent="0.25">
      <c r="A90" s="1158" t="s">
        <v>68</v>
      </c>
      <c r="B90" s="94">
        <v>4608</v>
      </c>
    </row>
    <row r="91" spans="1:2" x14ac:dyDescent="0.25">
      <c r="A91" s="1158" t="s">
        <v>31</v>
      </c>
      <c r="B91" s="94">
        <v>2409</v>
      </c>
    </row>
    <row r="92" spans="1:2" ht="26.25" x14ac:dyDescent="0.25">
      <c r="A92" s="1170" t="s">
        <v>281</v>
      </c>
      <c r="B92" s="1168" t="s">
        <v>282</v>
      </c>
    </row>
    <row r="93" spans="1:2" ht="26.25" x14ac:dyDescent="0.25">
      <c r="A93" s="1171" t="s">
        <v>1401</v>
      </c>
      <c r="B93" s="1173" t="s">
        <v>771</v>
      </c>
    </row>
    <row r="94" spans="1:2" x14ac:dyDescent="0.25">
      <c r="A94" s="1174" t="s">
        <v>539</v>
      </c>
      <c r="B94" s="96">
        <v>205921</v>
      </c>
    </row>
    <row r="95" spans="1:2" x14ac:dyDescent="0.25">
      <c r="A95" s="1171" t="s">
        <v>1372</v>
      </c>
      <c r="B95" s="1154" t="s">
        <v>776</v>
      </c>
    </row>
    <row r="96" spans="1:2" x14ac:dyDescent="0.25">
      <c r="A96" s="1174" t="s">
        <v>538</v>
      </c>
      <c r="B96" s="96">
        <v>205999</v>
      </c>
    </row>
    <row r="97" spans="1:2" x14ac:dyDescent="0.25">
      <c r="A97" s="96" t="s">
        <v>537</v>
      </c>
      <c r="B97" s="95" t="s">
        <v>283</v>
      </c>
    </row>
    <row r="98" spans="1:2" x14ac:dyDescent="0.25">
      <c r="A98" s="1171" t="s">
        <v>1373</v>
      </c>
      <c r="B98" s="1153">
        <v>206065</v>
      </c>
    </row>
    <row r="99" spans="1:2" x14ac:dyDescent="0.25">
      <c r="A99" s="1175" t="s">
        <v>1375</v>
      </c>
      <c r="B99" s="1154" t="s">
        <v>787</v>
      </c>
    </row>
    <row r="100" spans="1:2" x14ac:dyDescent="0.25">
      <c r="A100" s="456" t="s">
        <v>589</v>
      </c>
      <c r="B100" s="1176" t="s">
        <v>288</v>
      </c>
    </row>
    <row r="101" spans="1:2" x14ac:dyDescent="0.25">
      <c r="A101" s="1177" t="s">
        <v>540</v>
      </c>
      <c r="B101" s="96">
        <v>205922</v>
      </c>
    </row>
    <row r="102" spans="1:2" x14ac:dyDescent="0.25">
      <c r="A102" s="456" t="s">
        <v>587</v>
      </c>
      <c r="B102" s="1154" t="s">
        <v>784</v>
      </c>
    </row>
    <row r="103" spans="1:2" x14ac:dyDescent="0.25">
      <c r="A103" s="1171" t="s">
        <v>1374</v>
      </c>
      <c r="B103" s="1154" t="s">
        <v>781</v>
      </c>
    </row>
    <row r="104" spans="1:2" x14ac:dyDescent="0.25">
      <c r="A104" s="1171" t="s">
        <v>1376</v>
      </c>
      <c r="B104" s="1178">
        <v>205919</v>
      </c>
    </row>
    <row r="105" spans="1:2" x14ac:dyDescent="0.25">
      <c r="A105" s="96" t="s">
        <v>541</v>
      </c>
      <c r="B105" s="95" t="s">
        <v>287</v>
      </c>
    </row>
    <row r="106" spans="1:2" x14ac:dyDescent="0.25">
      <c r="A106" s="1171" t="s">
        <v>1377</v>
      </c>
      <c r="B106" s="1179" t="s">
        <v>791</v>
      </c>
    </row>
    <row r="107" spans="1:2" x14ac:dyDescent="0.25">
      <c r="A107" s="1171" t="s">
        <v>1378</v>
      </c>
      <c r="B107" s="1169" t="s">
        <v>793</v>
      </c>
    </row>
    <row r="108" spans="1:2" x14ac:dyDescent="0.25">
      <c r="A108" s="1180" t="s">
        <v>1380</v>
      </c>
      <c r="B108" s="1154" t="s">
        <v>796</v>
      </c>
    </row>
    <row r="109" spans="1:2" x14ac:dyDescent="0.25">
      <c r="A109" s="1181" t="s">
        <v>1379</v>
      </c>
      <c r="B109" s="697">
        <v>205849</v>
      </c>
    </row>
    <row r="110" spans="1:2" x14ac:dyDescent="0.25">
      <c r="A110" s="456" t="s">
        <v>594</v>
      </c>
      <c r="B110" s="1176" t="s">
        <v>284</v>
      </c>
    </row>
    <row r="111" spans="1:2" x14ac:dyDescent="0.25">
      <c r="A111" s="1182" t="s">
        <v>1381</v>
      </c>
      <c r="B111" s="1154" t="s">
        <v>798</v>
      </c>
    </row>
    <row r="112" spans="1:2" x14ac:dyDescent="0.25">
      <c r="A112" s="1183" t="s">
        <v>1385</v>
      </c>
      <c r="B112" s="1184">
        <v>205922</v>
      </c>
    </row>
    <row r="113" spans="1:2" x14ac:dyDescent="0.25">
      <c r="A113" s="1185" t="s">
        <v>1384</v>
      </c>
      <c r="B113" s="1179">
        <v>205881</v>
      </c>
    </row>
    <row r="114" spans="1:2" x14ac:dyDescent="0.25">
      <c r="A114" s="1186" t="s">
        <v>1382</v>
      </c>
      <c r="B114" s="1187" t="s">
        <v>801</v>
      </c>
    </row>
    <row r="115" spans="1:2" x14ac:dyDescent="0.25">
      <c r="A115" s="1174" t="s">
        <v>542</v>
      </c>
      <c r="B115" s="96" t="s">
        <v>289</v>
      </c>
    </row>
    <row r="116" spans="1:2" x14ac:dyDescent="0.25">
      <c r="A116" s="1171" t="s">
        <v>1383</v>
      </c>
      <c r="B116" s="1179" t="s">
        <v>806</v>
      </c>
    </row>
    <row r="117" spans="1:2" x14ac:dyDescent="0.25">
      <c r="A117" s="1185" t="s">
        <v>807</v>
      </c>
      <c r="B117" s="1179" t="s">
        <v>808</v>
      </c>
    </row>
    <row r="118" spans="1:2" x14ac:dyDescent="0.25">
      <c r="A118" s="1185" t="s">
        <v>1386</v>
      </c>
      <c r="B118" s="1189" t="s">
        <v>811</v>
      </c>
    </row>
    <row r="119" spans="1:2" x14ac:dyDescent="0.25">
      <c r="A119" s="1181" t="s">
        <v>543</v>
      </c>
      <c r="B119" s="96">
        <v>2</v>
      </c>
    </row>
    <row r="120" spans="1:2" x14ac:dyDescent="0.25">
      <c r="A120" s="1192" t="s">
        <v>1387</v>
      </c>
      <c r="B120" s="1150" t="s">
        <v>668</v>
      </c>
    </row>
    <row r="121" spans="1:2" x14ac:dyDescent="0.25">
      <c r="A121" s="693" t="s">
        <v>1388</v>
      </c>
      <c r="B121" s="1179" t="s">
        <v>686</v>
      </c>
    </row>
    <row r="122" spans="1:2" x14ac:dyDescent="0.25">
      <c r="A122" s="96" t="s">
        <v>544</v>
      </c>
      <c r="B122" s="1184">
        <v>205956</v>
      </c>
    </row>
    <row r="123" spans="1:2" x14ac:dyDescent="0.25">
      <c r="A123" s="702" t="s">
        <v>1389</v>
      </c>
      <c r="B123" s="1169">
        <v>260849</v>
      </c>
    </row>
    <row r="124" spans="1:2" x14ac:dyDescent="0.25">
      <c r="A124" s="693" t="s">
        <v>1390</v>
      </c>
      <c r="B124" s="1169" t="s">
        <v>818</v>
      </c>
    </row>
    <row r="125" spans="1:2" x14ac:dyDescent="0.25">
      <c r="A125" s="1193" t="s">
        <v>1391</v>
      </c>
      <c r="B125" s="1165" t="s">
        <v>291</v>
      </c>
    </row>
    <row r="126" spans="1:2" x14ac:dyDescent="0.25">
      <c r="A126" s="1145" t="s">
        <v>1392</v>
      </c>
      <c r="B126" s="1154" t="s">
        <v>821</v>
      </c>
    </row>
    <row r="127" spans="1:2" x14ac:dyDescent="0.25">
      <c r="A127" s="1142" t="s">
        <v>1394</v>
      </c>
      <c r="B127" s="1154" t="s">
        <v>825</v>
      </c>
    </row>
    <row r="128" spans="1:2" x14ac:dyDescent="0.25">
      <c r="A128" s="1142" t="s">
        <v>1393</v>
      </c>
      <c r="B128" s="1189" t="s">
        <v>823</v>
      </c>
    </row>
    <row r="129" spans="1:2" x14ac:dyDescent="0.25">
      <c r="A129" s="583" t="s">
        <v>1396</v>
      </c>
      <c r="B129" s="1154" t="s">
        <v>830</v>
      </c>
    </row>
    <row r="130" spans="1:2" x14ac:dyDescent="0.25">
      <c r="A130" s="1143" t="s">
        <v>1395</v>
      </c>
      <c r="B130" s="1154" t="s">
        <v>827</v>
      </c>
    </row>
    <row r="131" spans="1:2" x14ac:dyDescent="0.25">
      <c r="A131" s="1181" t="s">
        <v>591</v>
      </c>
      <c r="B131" s="95" t="s">
        <v>293</v>
      </c>
    </row>
    <row r="132" spans="1:2" x14ac:dyDescent="0.25">
      <c r="A132" s="1142" t="s">
        <v>1402</v>
      </c>
      <c r="B132" s="697" t="s">
        <v>833</v>
      </c>
    </row>
    <row r="133" spans="1:2" x14ac:dyDescent="0.25">
      <c r="A133" s="1142" t="s">
        <v>1403</v>
      </c>
      <c r="B133" s="1154" t="s">
        <v>835</v>
      </c>
    </row>
    <row r="134" spans="1:2" x14ac:dyDescent="0.25">
      <c r="A134" s="1174" t="s">
        <v>547</v>
      </c>
      <c r="B134" s="95" t="s">
        <v>295</v>
      </c>
    </row>
    <row r="135" spans="1:2" x14ac:dyDescent="0.25">
      <c r="A135" s="1148" t="s">
        <v>1397</v>
      </c>
      <c r="B135" s="1154">
        <v>206031</v>
      </c>
    </row>
    <row r="136" spans="1:2" x14ac:dyDescent="0.25">
      <c r="A136" s="1174" t="s">
        <v>546</v>
      </c>
      <c r="B136" s="95" t="s">
        <v>296</v>
      </c>
    </row>
    <row r="137" spans="1:2" x14ac:dyDescent="0.25">
      <c r="A137" s="96" t="s">
        <v>545</v>
      </c>
      <c r="B137" s="95" t="s">
        <v>294</v>
      </c>
    </row>
    <row r="138" spans="1:2" x14ac:dyDescent="0.25">
      <c r="A138" s="1143" t="s">
        <v>1398</v>
      </c>
      <c r="B138" s="1154" t="s">
        <v>840</v>
      </c>
    </row>
    <row r="139" spans="1:2" x14ac:dyDescent="0.25">
      <c r="A139" s="96" t="s">
        <v>1371</v>
      </c>
      <c r="B139" s="95" t="s">
        <v>298</v>
      </c>
    </row>
    <row r="140" spans="1:2" x14ac:dyDescent="0.25">
      <c r="A140" s="1143" t="s">
        <v>1407</v>
      </c>
      <c r="B140" s="1179" t="s">
        <v>844</v>
      </c>
    </row>
    <row r="141" spans="1:2" x14ac:dyDescent="0.25">
      <c r="A141" s="1181" t="s">
        <v>592</v>
      </c>
      <c r="B141" s="1184">
        <v>206043</v>
      </c>
    </row>
    <row r="142" spans="1:2" x14ac:dyDescent="0.25">
      <c r="A142" s="1177" t="s">
        <v>548</v>
      </c>
      <c r="B142" s="95" t="s">
        <v>299</v>
      </c>
    </row>
    <row r="143" spans="1:2" x14ac:dyDescent="0.25">
      <c r="A143" s="1194" t="s">
        <v>590</v>
      </c>
      <c r="B143" s="1195" t="s">
        <v>292</v>
      </c>
    </row>
    <row r="144" spans="1:2" x14ac:dyDescent="0.25">
      <c r="A144" s="1196" t="s">
        <v>593</v>
      </c>
      <c r="B144" s="1197" t="s">
        <v>297</v>
      </c>
    </row>
    <row r="145" spans="1:2" x14ac:dyDescent="0.25">
      <c r="A145" s="1143" t="s">
        <v>1406</v>
      </c>
      <c r="B145" s="1154">
        <v>206067</v>
      </c>
    </row>
    <row r="146" spans="1:2" x14ac:dyDescent="0.25">
      <c r="A146" s="1177" t="s">
        <v>549</v>
      </c>
      <c r="B146" s="97" t="s">
        <v>300</v>
      </c>
    </row>
    <row r="147" spans="1:2" x14ac:dyDescent="0.25">
      <c r="A147" s="1190" t="s">
        <v>1400</v>
      </c>
      <c r="B147" s="1191" t="s">
        <v>290</v>
      </c>
    </row>
    <row r="148" spans="1:2" x14ac:dyDescent="0.25">
      <c r="A148" s="1198" t="s">
        <v>550</v>
      </c>
      <c r="B148" s="98" t="s">
        <v>301</v>
      </c>
    </row>
    <row r="149" spans="1:2" x14ac:dyDescent="0.25">
      <c r="A149" s="1147" t="s">
        <v>1404</v>
      </c>
      <c r="B149" s="1209" t="s">
        <v>854</v>
      </c>
    </row>
    <row r="150" spans="1:2" x14ac:dyDescent="0.25">
      <c r="A150" s="456" t="s">
        <v>595</v>
      </c>
      <c r="B150" s="1176" t="s">
        <v>285</v>
      </c>
    </row>
    <row r="151" spans="1:2" x14ac:dyDescent="0.25">
      <c r="A151" s="1147" t="s">
        <v>1405</v>
      </c>
      <c r="B151" s="1209" t="s">
        <v>856</v>
      </c>
    </row>
    <row r="152" spans="1:2" ht="26.25" x14ac:dyDescent="0.25">
      <c r="A152" s="87" t="s">
        <v>302</v>
      </c>
      <c r="B152" s="88" t="s">
        <v>303</v>
      </c>
    </row>
    <row r="153" spans="1:2" x14ac:dyDescent="0.25">
      <c r="A153" s="79" t="s">
        <v>304</v>
      </c>
      <c r="B153" s="79" t="s">
        <v>306</v>
      </c>
    </row>
    <row r="154" spans="1:2" x14ac:dyDescent="0.25">
      <c r="A154" s="1144" t="s">
        <v>858</v>
      </c>
      <c r="B154" s="1169" t="s">
        <v>859</v>
      </c>
    </row>
    <row r="155" spans="1:2" x14ac:dyDescent="0.25">
      <c r="A155" s="1158" t="s">
        <v>111</v>
      </c>
      <c r="B155" s="94">
        <v>4178</v>
      </c>
    </row>
    <row r="156" spans="1:2" x14ac:dyDescent="0.25">
      <c r="A156" s="1158" t="s">
        <v>98</v>
      </c>
      <c r="B156" s="94">
        <v>3158</v>
      </c>
    </row>
    <row r="157" spans="1:2" x14ac:dyDescent="0.25">
      <c r="A157" s="79" t="s">
        <v>32</v>
      </c>
      <c r="B157" s="79">
        <v>2619</v>
      </c>
    </row>
    <row r="158" spans="1:2" x14ac:dyDescent="0.25">
      <c r="A158" s="1141" t="s">
        <v>860</v>
      </c>
      <c r="B158" s="1154" t="s">
        <v>861</v>
      </c>
    </row>
    <row r="159" spans="1:2" x14ac:dyDescent="0.25">
      <c r="A159" s="79" t="s">
        <v>307</v>
      </c>
      <c r="B159" s="80" t="s">
        <v>308</v>
      </c>
    </row>
    <row r="160" spans="1:2" x14ac:dyDescent="0.25">
      <c r="A160" s="79" t="s">
        <v>309</v>
      </c>
      <c r="B160" s="79">
        <v>258417</v>
      </c>
    </row>
    <row r="161" spans="1:2" x14ac:dyDescent="0.25">
      <c r="A161" s="79" t="s">
        <v>311</v>
      </c>
      <c r="B161" s="79" t="s">
        <v>313</v>
      </c>
    </row>
    <row r="162" spans="1:2" x14ac:dyDescent="0.25">
      <c r="A162" s="79" t="s">
        <v>314</v>
      </c>
      <c r="B162" s="79" t="s">
        <v>316</v>
      </c>
    </row>
    <row r="163" spans="1:2" x14ac:dyDescent="0.25">
      <c r="A163" s="79" t="s">
        <v>33</v>
      </c>
      <c r="B163" s="79">
        <v>2518</v>
      </c>
    </row>
    <row r="164" spans="1:2" x14ac:dyDescent="0.25">
      <c r="A164" s="1141" t="s">
        <v>862</v>
      </c>
      <c r="B164" s="1210" t="s">
        <v>863</v>
      </c>
    </row>
    <row r="165" spans="1:2" x14ac:dyDescent="0.25">
      <c r="A165" s="79" t="s">
        <v>317</v>
      </c>
      <c r="B165" s="79">
        <v>206106</v>
      </c>
    </row>
    <row r="166" spans="1:2" x14ac:dyDescent="0.25">
      <c r="A166" s="80" t="s">
        <v>319</v>
      </c>
      <c r="B166" s="80" t="s">
        <v>320</v>
      </c>
    </row>
    <row r="167" spans="1:2" x14ac:dyDescent="0.25">
      <c r="A167" s="1144" t="s">
        <v>864</v>
      </c>
      <c r="B167" s="1169" t="s">
        <v>865</v>
      </c>
    </row>
    <row r="168" spans="1:2" x14ac:dyDescent="0.25">
      <c r="A168" s="1158" t="s">
        <v>34</v>
      </c>
      <c r="B168" s="94">
        <v>2457</v>
      </c>
    </row>
    <row r="169" spans="1:2" x14ac:dyDescent="0.25">
      <c r="A169" s="1158" t="s">
        <v>99</v>
      </c>
      <c r="B169" s="79">
        <v>2010</v>
      </c>
    </row>
    <row r="170" spans="1:2" x14ac:dyDescent="0.25">
      <c r="A170" s="79" t="s">
        <v>35</v>
      </c>
      <c r="B170" s="79">
        <v>2002</v>
      </c>
    </row>
    <row r="171" spans="1:2" x14ac:dyDescent="0.25">
      <c r="A171" s="79" t="s">
        <v>36</v>
      </c>
      <c r="B171" s="79">
        <v>3544</v>
      </c>
    </row>
    <row r="172" spans="1:2" x14ac:dyDescent="0.25">
      <c r="A172" s="79" t="s">
        <v>5</v>
      </c>
      <c r="B172" s="79">
        <v>1008</v>
      </c>
    </row>
    <row r="173" spans="1:2" x14ac:dyDescent="0.25">
      <c r="A173" s="79" t="s">
        <v>321</v>
      </c>
      <c r="B173" s="79" t="s">
        <v>322</v>
      </c>
    </row>
    <row r="174" spans="1:2" x14ac:dyDescent="0.25">
      <c r="A174" s="79" t="s">
        <v>100</v>
      </c>
      <c r="B174" s="79">
        <v>2006</v>
      </c>
    </row>
    <row r="175" spans="1:2" x14ac:dyDescent="0.25">
      <c r="A175" s="80" t="s">
        <v>323</v>
      </c>
      <c r="B175" s="80" t="s">
        <v>324</v>
      </c>
    </row>
    <row r="176" spans="1:2" x14ac:dyDescent="0.25">
      <c r="A176" s="79" t="s">
        <v>325</v>
      </c>
      <c r="B176" s="79">
        <v>206133</v>
      </c>
    </row>
    <row r="177" spans="1:2" x14ac:dyDescent="0.25">
      <c r="A177" s="1149" t="s">
        <v>867</v>
      </c>
      <c r="B177" s="1169" t="s">
        <v>868</v>
      </c>
    </row>
    <row r="178" spans="1:2" x14ac:dyDescent="0.25">
      <c r="A178" s="79" t="s">
        <v>327</v>
      </c>
      <c r="B178" s="79" t="s">
        <v>329</v>
      </c>
    </row>
    <row r="179" spans="1:2" x14ac:dyDescent="0.25">
      <c r="A179" s="79" t="s">
        <v>330</v>
      </c>
      <c r="B179" s="79">
        <v>206134</v>
      </c>
    </row>
    <row r="180" spans="1:2" x14ac:dyDescent="0.25">
      <c r="A180" s="79" t="s">
        <v>334</v>
      </c>
      <c r="B180" s="79" t="s">
        <v>335</v>
      </c>
    </row>
    <row r="181" spans="1:2" x14ac:dyDescent="0.25">
      <c r="A181" s="1199" t="s">
        <v>332</v>
      </c>
      <c r="B181" s="1200" t="s">
        <v>333</v>
      </c>
    </row>
    <row r="182" spans="1:2" x14ac:dyDescent="0.25">
      <c r="A182" s="79" t="s">
        <v>336</v>
      </c>
      <c r="B182" s="79" t="s">
        <v>337</v>
      </c>
    </row>
    <row r="183" spans="1:2" x14ac:dyDescent="0.25">
      <c r="A183" s="79" t="s">
        <v>338</v>
      </c>
      <c r="B183" s="79">
        <v>206109</v>
      </c>
    </row>
    <row r="184" spans="1:2" x14ac:dyDescent="0.25">
      <c r="A184" s="79" t="s">
        <v>37</v>
      </c>
      <c r="B184" s="79">
        <v>2434</v>
      </c>
    </row>
    <row r="185" spans="1:2" x14ac:dyDescent="0.25">
      <c r="A185" s="1161" t="s">
        <v>597</v>
      </c>
      <c r="B185" s="147">
        <v>6905</v>
      </c>
    </row>
    <row r="186" spans="1:2" x14ac:dyDescent="0.25">
      <c r="A186" s="1158" t="s">
        <v>42</v>
      </c>
      <c r="B186" s="94">
        <v>2009</v>
      </c>
    </row>
    <row r="187" spans="1:2" x14ac:dyDescent="0.25">
      <c r="A187" s="1158" t="s">
        <v>38</v>
      </c>
      <c r="B187" s="94">
        <v>2522</v>
      </c>
    </row>
    <row r="188" spans="1:2" x14ac:dyDescent="0.25">
      <c r="A188" s="79" t="s">
        <v>340</v>
      </c>
      <c r="B188" s="79">
        <v>206110</v>
      </c>
    </row>
    <row r="189" spans="1:2" x14ac:dyDescent="0.25">
      <c r="A189" s="79" t="s">
        <v>342</v>
      </c>
      <c r="B189" s="79">
        <v>206135</v>
      </c>
    </row>
    <row r="190" spans="1:2" x14ac:dyDescent="0.25">
      <c r="A190" s="1158" t="s">
        <v>69</v>
      </c>
      <c r="B190" s="94">
        <v>4181</v>
      </c>
    </row>
    <row r="191" spans="1:2" x14ac:dyDescent="0.25">
      <c r="A191" s="79" t="s">
        <v>344</v>
      </c>
      <c r="B191" s="79">
        <v>509195</v>
      </c>
    </row>
    <row r="192" spans="1:2" ht="26.25" x14ac:dyDescent="0.25">
      <c r="A192" s="87" t="s">
        <v>346</v>
      </c>
      <c r="B192" s="88" t="s">
        <v>347</v>
      </c>
    </row>
    <row r="193" spans="1:2" x14ac:dyDescent="0.25">
      <c r="A193" s="1201" t="s">
        <v>348</v>
      </c>
      <c r="B193" s="1202" t="s">
        <v>349</v>
      </c>
    </row>
    <row r="194" spans="1:2" x14ac:dyDescent="0.25">
      <c r="A194" s="79" t="s">
        <v>350</v>
      </c>
      <c r="B194" s="79" t="s">
        <v>352</v>
      </c>
    </row>
    <row r="195" spans="1:2" x14ac:dyDescent="0.25">
      <c r="A195" s="79" t="s">
        <v>353</v>
      </c>
      <c r="B195" s="79">
        <v>509199</v>
      </c>
    </row>
    <row r="196" spans="1:2" x14ac:dyDescent="0.25">
      <c r="A196" s="79" t="s">
        <v>355</v>
      </c>
      <c r="B196" s="79">
        <v>509197</v>
      </c>
    </row>
    <row r="197" spans="1:2" x14ac:dyDescent="0.25">
      <c r="A197" s="1151" t="s">
        <v>870</v>
      </c>
      <c r="B197" s="1211">
        <v>479383</v>
      </c>
    </row>
    <row r="198" spans="1:2" ht="26.25" x14ac:dyDescent="0.25">
      <c r="A198" s="1170" t="s">
        <v>360</v>
      </c>
      <c r="B198" s="1168" t="s">
        <v>361</v>
      </c>
    </row>
    <row r="199" spans="1:2" x14ac:dyDescent="0.25">
      <c r="A199" s="1158" t="s">
        <v>70</v>
      </c>
      <c r="B199" s="94">
        <v>4182</v>
      </c>
    </row>
    <row r="200" spans="1:2" x14ac:dyDescent="0.25">
      <c r="A200" s="79" t="s">
        <v>357</v>
      </c>
      <c r="B200" s="79" t="s">
        <v>359</v>
      </c>
    </row>
    <row r="201" spans="1:2" x14ac:dyDescent="0.25">
      <c r="A201" s="79" t="s">
        <v>6</v>
      </c>
      <c r="B201" s="79">
        <v>1005</v>
      </c>
    </row>
    <row r="202" spans="1:2" x14ac:dyDescent="0.25">
      <c r="A202" s="489" t="s">
        <v>871</v>
      </c>
      <c r="B202" s="1179" t="s">
        <v>872</v>
      </c>
    </row>
    <row r="203" spans="1:2" x14ac:dyDescent="0.25">
      <c r="A203" s="1158" t="s">
        <v>39</v>
      </c>
      <c r="B203" s="94">
        <v>2436</v>
      </c>
    </row>
    <row r="204" spans="1:2" x14ac:dyDescent="0.25">
      <c r="A204" s="79" t="s">
        <v>362</v>
      </c>
      <c r="B204" s="79">
        <v>206117</v>
      </c>
    </row>
    <row r="205" spans="1:2" x14ac:dyDescent="0.25">
      <c r="A205" s="79" t="s">
        <v>40</v>
      </c>
      <c r="B205" s="79">
        <v>2452</v>
      </c>
    </row>
    <row r="206" spans="1:2" x14ac:dyDescent="0.25">
      <c r="A206" s="1158" t="s">
        <v>71</v>
      </c>
      <c r="B206" s="94">
        <v>4001</v>
      </c>
    </row>
    <row r="207" spans="1:2" x14ac:dyDescent="0.25">
      <c r="A207" s="79" t="s">
        <v>364</v>
      </c>
      <c r="B207" s="79">
        <v>206141</v>
      </c>
    </row>
    <row r="208" spans="1:2" x14ac:dyDescent="0.25">
      <c r="A208" s="1158" t="s">
        <v>41</v>
      </c>
      <c r="B208" s="94">
        <v>2627</v>
      </c>
    </row>
    <row r="209" spans="1:2" x14ac:dyDescent="0.25">
      <c r="A209" s="1158" t="s">
        <v>112</v>
      </c>
      <c r="B209" s="94">
        <v>5406</v>
      </c>
    </row>
    <row r="210" spans="1:2" x14ac:dyDescent="0.25">
      <c r="A210" s="1158" t="s">
        <v>113</v>
      </c>
      <c r="B210" s="94">
        <v>5407</v>
      </c>
    </row>
    <row r="211" spans="1:2" x14ac:dyDescent="0.25">
      <c r="A211" s="79" t="s">
        <v>366</v>
      </c>
      <c r="B211" s="79" t="s">
        <v>368</v>
      </c>
    </row>
    <row r="212" spans="1:2" x14ac:dyDescent="0.25">
      <c r="A212" s="79" t="s">
        <v>369</v>
      </c>
      <c r="B212" s="79">
        <v>258404</v>
      </c>
    </row>
    <row r="213" spans="1:2" x14ac:dyDescent="0.25">
      <c r="A213" s="1158" t="s">
        <v>101</v>
      </c>
      <c r="B213" s="79">
        <v>2473</v>
      </c>
    </row>
    <row r="214" spans="1:2" x14ac:dyDescent="0.25">
      <c r="A214" s="1158" t="s">
        <v>44</v>
      </c>
      <c r="B214" s="94">
        <v>2471</v>
      </c>
    </row>
    <row r="215" spans="1:2" x14ac:dyDescent="0.25">
      <c r="A215" s="79" t="s">
        <v>371</v>
      </c>
      <c r="B215" s="79">
        <v>258405</v>
      </c>
    </row>
    <row r="216" spans="1:2" x14ac:dyDescent="0.25">
      <c r="A216" s="79" t="s">
        <v>373</v>
      </c>
      <c r="B216" s="79">
        <v>258406</v>
      </c>
    </row>
    <row r="217" spans="1:2" x14ac:dyDescent="0.25">
      <c r="A217" s="79" t="s">
        <v>43</v>
      </c>
      <c r="B217" s="79">
        <v>2420</v>
      </c>
    </row>
    <row r="218" spans="1:2" x14ac:dyDescent="0.25">
      <c r="A218" s="79" t="s">
        <v>375</v>
      </c>
      <c r="B218" s="79">
        <v>206160</v>
      </c>
    </row>
    <row r="219" spans="1:2" x14ac:dyDescent="0.25">
      <c r="A219" s="79" t="s">
        <v>45</v>
      </c>
      <c r="B219" s="79">
        <v>2003</v>
      </c>
    </row>
    <row r="220" spans="1:2" x14ac:dyDescent="0.25">
      <c r="A220" s="1158" t="s">
        <v>46</v>
      </c>
      <c r="B220" s="94">
        <v>2423</v>
      </c>
    </row>
    <row r="221" spans="1:2" x14ac:dyDescent="0.25">
      <c r="A221" s="1158" t="s">
        <v>47</v>
      </c>
      <c r="B221" s="94">
        <v>2424</v>
      </c>
    </row>
    <row r="222" spans="1:2" x14ac:dyDescent="0.25">
      <c r="A222" s="79" t="s">
        <v>377</v>
      </c>
      <c r="B222" s="79" t="s">
        <v>379</v>
      </c>
    </row>
    <row r="223" spans="1:2" x14ac:dyDescent="0.25">
      <c r="A223" s="726" t="s">
        <v>873</v>
      </c>
      <c r="B223" s="1179" t="s">
        <v>874</v>
      </c>
    </row>
    <row r="224" spans="1:2" x14ac:dyDescent="0.25">
      <c r="A224" s="79" t="s">
        <v>382</v>
      </c>
      <c r="B224" s="79" t="s">
        <v>384</v>
      </c>
    </row>
    <row r="225" spans="1:2" x14ac:dyDescent="0.25">
      <c r="A225" s="79" t="s">
        <v>385</v>
      </c>
      <c r="B225" s="79">
        <v>206146</v>
      </c>
    </row>
    <row r="226" spans="1:2" x14ac:dyDescent="0.25">
      <c r="A226" s="1158" t="s">
        <v>48</v>
      </c>
      <c r="B226" s="94">
        <v>2439</v>
      </c>
    </row>
    <row r="227" spans="1:2" x14ac:dyDescent="0.25">
      <c r="A227" s="1158" t="s">
        <v>49</v>
      </c>
      <c r="B227" s="94">
        <v>2440</v>
      </c>
    </row>
    <row r="228" spans="1:2" x14ac:dyDescent="0.25">
      <c r="A228" s="80" t="s">
        <v>387</v>
      </c>
      <c r="B228" s="80" t="s">
        <v>388</v>
      </c>
    </row>
    <row r="229" spans="1:2" x14ac:dyDescent="0.25">
      <c r="A229" s="1158" t="s">
        <v>102</v>
      </c>
      <c r="B229" s="79">
        <v>2462</v>
      </c>
    </row>
    <row r="230" spans="1:2" x14ac:dyDescent="0.25">
      <c r="A230" s="1158" t="s">
        <v>50</v>
      </c>
      <c r="B230" s="94">
        <v>2463</v>
      </c>
    </row>
    <row r="231" spans="1:2" x14ac:dyDescent="0.25">
      <c r="A231" s="79" t="s">
        <v>51</v>
      </c>
      <c r="B231" s="79">
        <v>2505</v>
      </c>
    </row>
    <row r="232" spans="1:2" x14ac:dyDescent="0.25">
      <c r="A232" s="79" t="s">
        <v>52</v>
      </c>
      <c r="B232" s="79">
        <v>2000</v>
      </c>
    </row>
    <row r="233" spans="1:2" x14ac:dyDescent="0.25">
      <c r="A233" s="1158" t="s">
        <v>53</v>
      </c>
      <c r="B233" s="94">
        <v>2458</v>
      </c>
    </row>
    <row r="234" spans="1:2" x14ac:dyDescent="0.25">
      <c r="A234" s="79" t="s">
        <v>392</v>
      </c>
      <c r="B234" s="79" t="s">
        <v>394</v>
      </c>
    </row>
    <row r="235" spans="1:2" x14ac:dyDescent="0.25">
      <c r="A235" s="79" t="s">
        <v>54</v>
      </c>
      <c r="B235" s="79">
        <v>2001</v>
      </c>
    </row>
    <row r="236" spans="1:2" x14ac:dyDescent="0.25">
      <c r="A236" s="80" t="s">
        <v>395</v>
      </c>
      <c r="B236" s="80" t="s">
        <v>396</v>
      </c>
    </row>
    <row r="237" spans="1:2" x14ac:dyDescent="0.25">
      <c r="A237" s="79" t="s">
        <v>55</v>
      </c>
      <c r="B237" s="79">
        <v>2429</v>
      </c>
    </row>
    <row r="238" spans="1:2" x14ac:dyDescent="0.25">
      <c r="A238" s="79" t="s">
        <v>397</v>
      </c>
      <c r="B238" s="79">
        <v>113044</v>
      </c>
    </row>
    <row r="239" spans="1:2" x14ac:dyDescent="0.25">
      <c r="A239" s="79" t="s">
        <v>399</v>
      </c>
      <c r="B239" s="79" t="s">
        <v>401</v>
      </c>
    </row>
    <row r="240" spans="1:2" x14ac:dyDescent="0.25">
      <c r="A240" s="1158" t="s">
        <v>72</v>
      </c>
      <c r="B240" s="94">
        <v>4607</v>
      </c>
    </row>
    <row r="241" spans="1:2" x14ac:dyDescent="0.25">
      <c r="A241" s="665" t="s">
        <v>881</v>
      </c>
      <c r="B241" s="1169" t="s">
        <v>882</v>
      </c>
    </row>
    <row r="242" spans="1:2" x14ac:dyDescent="0.25">
      <c r="A242" s="726" t="s">
        <v>883</v>
      </c>
      <c r="B242" s="1154" t="s">
        <v>884</v>
      </c>
    </row>
    <row r="243" spans="1:2" x14ac:dyDescent="0.25">
      <c r="A243" s="79" t="s">
        <v>56</v>
      </c>
      <c r="B243" s="79">
        <v>2444</v>
      </c>
    </row>
    <row r="244" spans="1:2" x14ac:dyDescent="0.25">
      <c r="A244" s="1158" t="s">
        <v>57</v>
      </c>
      <c r="B244" s="94">
        <v>5209</v>
      </c>
    </row>
    <row r="245" spans="1:2" x14ac:dyDescent="0.25">
      <c r="A245" s="79" t="s">
        <v>402</v>
      </c>
      <c r="B245" s="79" t="s">
        <v>404</v>
      </c>
    </row>
    <row r="246" spans="1:2" x14ac:dyDescent="0.25">
      <c r="A246" s="79" t="s">
        <v>405</v>
      </c>
      <c r="B246" s="79" t="s">
        <v>407</v>
      </c>
    </row>
    <row r="247" spans="1:2" x14ac:dyDescent="0.25">
      <c r="A247" s="1158" t="s">
        <v>58</v>
      </c>
      <c r="B247" s="94">
        <v>2469</v>
      </c>
    </row>
    <row r="248" spans="1:2" x14ac:dyDescent="0.25">
      <c r="A248" s="79" t="s">
        <v>408</v>
      </c>
      <c r="B248" s="79" t="s">
        <v>410</v>
      </c>
    </row>
    <row r="249" spans="1:2" x14ac:dyDescent="0.25">
      <c r="A249" s="99" t="s">
        <v>411</v>
      </c>
      <c r="B249" s="99" t="s">
        <v>412</v>
      </c>
    </row>
    <row r="250" spans="1:2" x14ac:dyDescent="0.25">
      <c r="A250" s="1158" t="s">
        <v>59</v>
      </c>
      <c r="B250" s="94">
        <v>2466</v>
      </c>
    </row>
    <row r="251" spans="1:2" x14ac:dyDescent="0.25">
      <c r="A251" s="79" t="s">
        <v>60</v>
      </c>
      <c r="B251" s="79">
        <v>3543</v>
      </c>
    </row>
    <row r="252" spans="1:2" x14ac:dyDescent="0.25">
      <c r="A252" s="79" t="s">
        <v>413</v>
      </c>
      <c r="B252" s="79">
        <v>206152</v>
      </c>
    </row>
    <row r="253" spans="1:2" x14ac:dyDescent="0.25">
      <c r="A253" s="79" t="s">
        <v>415</v>
      </c>
      <c r="B253" s="79">
        <v>206153</v>
      </c>
    </row>
    <row r="254" spans="1:2" x14ac:dyDescent="0.25">
      <c r="A254" s="1158" t="s">
        <v>62</v>
      </c>
      <c r="B254" s="94">
        <v>3531</v>
      </c>
    </row>
    <row r="255" spans="1:2" x14ac:dyDescent="0.25">
      <c r="A255" s="79" t="s">
        <v>63</v>
      </c>
      <c r="B255" s="79">
        <v>3526</v>
      </c>
    </row>
    <row r="256" spans="1:2" x14ac:dyDescent="0.25">
      <c r="A256" s="1158" t="s">
        <v>104</v>
      </c>
      <c r="B256" s="94">
        <v>3535</v>
      </c>
    </row>
    <row r="257" spans="1:2" x14ac:dyDescent="0.25">
      <c r="A257" s="1203" t="s">
        <v>64</v>
      </c>
      <c r="B257" s="94">
        <v>2008</v>
      </c>
    </row>
    <row r="258" spans="1:2" x14ac:dyDescent="0.25">
      <c r="A258" s="1158" t="s">
        <v>105</v>
      </c>
      <c r="B258" s="94">
        <v>3542</v>
      </c>
    </row>
    <row r="259" spans="1:2" x14ac:dyDescent="0.25">
      <c r="A259" s="90" t="s">
        <v>417</v>
      </c>
      <c r="B259" s="79">
        <v>206154</v>
      </c>
    </row>
    <row r="260" spans="1:2" x14ac:dyDescent="0.25">
      <c r="A260" s="1158" t="s">
        <v>106</v>
      </c>
      <c r="B260" s="79">
        <v>3528</v>
      </c>
    </row>
    <row r="261" spans="1:2" x14ac:dyDescent="0.25">
      <c r="A261" s="80" t="s">
        <v>419</v>
      </c>
      <c r="B261" s="80" t="s">
        <v>420</v>
      </c>
    </row>
    <row r="262" spans="1:2" x14ac:dyDescent="0.25">
      <c r="A262" s="1158" t="s">
        <v>107</v>
      </c>
      <c r="B262" s="94">
        <v>3534</v>
      </c>
    </row>
    <row r="263" spans="1:2" x14ac:dyDescent="0.25">
      <c r="A263" s="1158" t="s">
        <v>108</v>
      </c>
      <c r="B263" s="143">
        <v>3532</v>
      </c>
    </row>
    <row r="264" spans="1:2" x14ac:dyDescent="0.25">
      <c r="A264" s="107" t="s">
        <v>7</v>
      </c>
      <c r="B264" s="79">
        <v>1010</v>
      </c>
    </row>
    <row r="265" spans="1:2" x14ac:dyDescent="0.25">
      <c r="A265" s="107" t="s">
        <v>421</v>
      </c>
      <c r="B265" s="79" t="s">
        <v>423</v>
      </c>
    </row>
    <row r="266" spans="1:2" x14ac:dyDescent="0.25">
      <c r="A266" s="1158" t="s">
        <v>114</v>
      </c>
      <c r="B266" s="94">
        <v>4177</v>
      </c>
    </row>
    <row r="267" spans="1:2" x14ac:dyDescent="0.25">
      <c r="A267" s="79" t="s">
        <v>424</v>
      </c>
      <c r="B267" s="79" t="s">
        <v>426</v>
      </c>
    </row>
    <row r="268" spans="1:2" x14ac:dyDescent="0.25">
      <c r="A268" s="79" t="s">
        <v>427</v>
      </c>
      <c r="B268" s="79">
        <v>206103</v>
      </c>
    </row>
    <row r="269" spans="1:2" x14ac:dyDescent="0.25">
      <c r="A269" s="79" t="s">
        <v>428</v>
      </c>
      <c r="B269" s="79" t="s">
        <v>430</v>
      </c>
    </row>
    <row r="270" spans="1:2" x14ac:dyDescent="0.25">
      <c r="A270" s="79" t="s">
        <v>431</v>
      </c>
      <c r="B270" s="79" t="s">
        <v>433</v>
      </c>
    </row>
    <row r="271" spans="1:2" x14ac:dyDescent="0.25">
      <c r="A271" s="79" t="s">
        <v>434</v>
      </c>
      <c r="B271" s="79">
        <v>258420</v>
      </c>
    </row>
    <row r="272" spans="1:2" x14ac:dyDescent="0.25">
      <c r="A272" s="79" t="s">
        <v>436</v>
      </c>
      <c r="B272" s="79">
        <v>258424</v>
      </c>
    </row>
    <row r="273" spans="1:2" x14ac:dyDescent="0.25">
      <c r="A273" s="79" t="s">
        <v>438</v>
      </c>
      <c r="B273" s="79" t="s">
        <v>439</v>
      </c>
    </row>
    <row r="274" spans="1:2" x14ac:dyDescent="0.25">
      <c r="A274" s="142" t="s">
        <v>65</v>
      </c>
      <c r="B274" s="79">
        <v>3546</v>
      </c>
    </row>
    <row r="275" spans="1:2" x14ac:dyDescent="0.25">
      <c r="A275" s="140" t="s">
        <v>8</v>
      </c>
      <c r="B275" s="79">
        <v>1009</v>
      </c>
    </row>
    <row r="276" spans="1:2" x14ac:dyDescent="0.25">
      <c r="A276" s="142" t="s">
        <v>66</v>
      </c>
      <c r="B276" s="79">
        <v>3530</v>
      </c>
    </row>
    <row r="277" spans="1:2" x14ac:dyDescent="0.25">
      <c r="A277" s="1158" t="s">
        <v>74</v>
      </c>
      <c r="B277" s="94">
        <v>5412</v>
      </c>
    </row>
    <row r="278" spans="1:2" x14ac:dyDescent="0.25">
      <c r="A278" s="146" t="s">
        <v>445</v>
      </c>
      <c r="B278" s="146" t="s">
        <v>446</v>
      </c>
    </row>
    <row r="279" spans="1:2" x14ac:dyDescent="0.25">
      <c r="A279" s="140" t="s">
        <v>440</v>
      </c>
      <c r="B279" s="144" t="s">
        <v>442</v>
      </c>
    </row>
    <row r="280" spans="1:2" x14ac:dyDescent="0.25">
      <c r="A280" s="79" t="s">
        <v>9</v>
      </c>
      <c r="B280" s="140">
        <v>1015</v>
      </c>
    </row>
    <row r="281" spans="1:2" ht="26.25" x14ac:dyDescent="0.25">
      <c r="A281" s="141" t="s">
        <v>443</v>
      </c>
      <c r="B281" s="145" t="s">
        <v>444</v>
      </c>
    </row>
    <row r="282" spans="1:2" x14ac:dyDescent="0.25">
      <c r="A282" s="142" t="s">
        <v>447</v>
      </c>
      <c r="B282" s="79">
        <v>509204</v>
      </c>
    </row>
    <row r="283" spans="1:2" x14ac:dyDescent="0.25">
      <c r="A283" s="1206" t="s">
        <v>67</v>
      </c>
      <c r="B283" s="143">
        <v>2459</v>
      </c>
    </row>
    <row r="284" spans="1:2" x14ac:dyDescent="0.25">
      <c r="A284" s="79" t="s">
        <v>96</v>
      </c>
      <c r="B284" s="79">
        <v>2007</v>
      </c>
    </row>
  </sheetData>
  <sheetProtection password="EF5C" sheet="1" objects="1" scenarios="1"/>
  <mergeCells count="3">
    <mergeCell ref="D3:I3"/>
    <mergeCell ref="K3:P3"/>
    <mergeCell ref="R3:W3"/>
  </mergeCells>
  <printOptions headings="1"/>
  <pageMargins left="0.51181102362204722" right="0.51181102362204722" top="0.74803149606299213" bottom="0.74803149606299213" header="0.31496062992125984" footer="0.31496062992125984"/>
  <pageSetup paperSize="9" scale="66"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XFD408"/>
  <sheetViews>
    <sheetView workbookViewId="0">
      <pane xSplit="2" ySplit="1" topLeftCell="BY98" activePane="bottomRight" state="frozen"/>
      <selection activeCell="S139" sqref="S139"/>
      <selection pane="topRight" activeCell="S139" sqref="S139"/>
      <selection pane="bottomLeft" activeCell="S139" sqref="S139"/>
      <selection pane="bottomRight" sqref="A1:CC1048576"/>
    </sheetView>
  </sheetViews>
  <sheetFormatPr defaultColWidth="23.85546875" defaultRowHeight="12.75" x14ac:dyDescent="0.2"/>
  <cols>
    <col min="1" max="1" width="0" style="30" hidden="1" customWidth="1"/>
    <col min="2" max="2" width="0" style="22" hidden="1" customWidth="1"/>
    <col min="3" max="17" width="0" style="11" hidden="1" customWidth="1"/>
    <col min="18" max="18" width="0" style="29" hidden="1" customWidth="1"/>
    <col min="19" max="25" width="0" style="11" hidden="1" customWidth="1"/>
    <col min="26" max="26" width="0" style="29" hidden="1" customWidth="1"/>
    <col min="27" max="31" width="0" style="11" hidden="1" customWidth="1"/>
    <col min="32" max="81" width="0" style="30" hidden="1" customWidth="1"/>
    <col min="82" max="16384" width="23.85546875" style="30"/>
  </cols>
  <sheetData>
    <row r="1" spans="1:44" s="36" customFormat="1" ht="57" customHeight="1" x14ac:dyDescent="0.2">
      <c r="A1" s="35" t="s">
        <v>118</v>
      </c>
      <c r="B1" s="38" t="s">
        <v>81</v>
      </c>
      <c r="C1" s="8" t="s">
        <v>139</v>
      </c>
      <c r="D1" s="8" t="s">
        <v>129</v>
      </c>
      <c r="E1" s="8" t="s">
        <v>130</v>
      </c>
      <c r="F1" s="8" t="s">
        <v>131</v>
      </c>
      <c r="G1" s="8" t="s">
        <v>132</v>
      </c>
      <c r="H1" s="8" t="s">
        <v>133</v>
      </c>
      <c r="I1" s="8" t="s">
        <v>134</v>
      </c>
      <c r="J1" s="8" t="s">
        <v>135</v>
      </c>
      <c r="K1" s="8" t="s">
        <v>1314</v>
      </c>
      <c r="L1" s="8" t="s">
        <v>136</v>
      </c>
      <c r="M1" s="8" t="s">
        <v>127</v>
      </c>
      <c r="N1" s="8" t="s">
        <v>128</v>
      </c>
      <c r="O1" s="8" t="s">
        <v>1315</v>
      </c>
      <c r="P1" s="8" t="s">
        <v>142</v>
      </c>
      <c r="Q1" s="37" t="s">
        <v>1316</v>
      </c>
      <c r="R1" s="37" t="s">
        <v>141</v>
      </c>
      <c r="S1" s="471" t="s">
        <v>143</v>
      </c>
      <c r="T1" s="471" t="s">
        <v>144</v>
      </c>
      <c r="U1" s="471" t="s">
        <v>1317</v>
      </c>
      <c r="V1" s="1116" t="s">
        <v>551</v>
      </c>
      <c r="W1" s="471" t="s">
        <v>146</v>
      </c>
      <c r="X1" s="471" t="s">
        <v>1318</v>
      </c>
      <c r="Y1" s="1116" t="s">
        <v>148</v>
      </c>
      <c r="Z1" s="37" t="s">
        <v>149</v>
      </c>
      <c r="AA1" s="37"/>
      <c r="AB1" s="37"/>
      <c r="AC1" s="37"/>
      <c r="AD1" s="37" t="s">
        <v>1319</v>
      </c>
      <c r="AE1" s="37"/>
      <c r="AG1" s="36" t="s">
        <v>1320</v>
      </c>
      <c r="AH1" s="36" t="s">
        <v>1321</v>
      </c>
      <c r="AI1" s="36" t="s">
        <v>1322</v>
      </c>
      <c r="AJ1" s="36" t="s">
        <v>904</v>
      </c>
    </row>
    <row r="2" spans="1:44" x14ac:dyDescent="0.2">
      <c r="A2" s="9" t="s">
        <v>10</v>
      </c>
      <c r="B2" s="26">
        <v>2012</v>
      </c>
      <c r="C2" s="11">
        <f>VLOOKUP(B2,AWPU!$B$7:'AWPU'!$N$78,13,FALSE)</f>
        <v>913981.76860000007</v>
      </c>
      <c r="D2" s="11">
        <f>VLOOKUP(B2,DEP!$B$6:'DEP'!$O$101,14,FALSE)</f>
        <v>474052.41696087242</v>
      </c>
      <c r="E2" s="11">
        <f>VLOOKUP(B2,LAC!$B$7:'LAC'!$D$102,3,FALSE)</f>
        <v>1481.503298470948</v>
      </c>
      <c r="F2" s="11">
        <f>VLOOKUP(B2,LCHI!$B$7:'LCHI'!$D$102,3,FALSE)</f>
        <v>0</v>
      </c>
      <c r="G2" s="11">
        <f>VLOOKUP(B2,EAL!$B$7:'EAL'!$G$101,6,FALSE)</f>
        <v>58641.77103366323</v>
      </c>
      <c r="H2" s="11">
        <f>VLOOKUP(B2,MOB!$B$7:'MOB'!$G$101,6,FALSE)</f>
        <v>32631.296000000038</v>
      </c>
      <c r="I2" s="11">
        <f>VLOOKUP(B2,'LUMP SUM'!$B$7:$C$101,2,FALSE)</f>
        <v>100000</v>
      </c>
      <c r="J2" s="11">
        <f>VLOOKUP(B2,'SPLIT SITE'!$B$7:'SPLIT SITE'!$C$101,2,FALSE)</f>
        <v>0</v>
      </c>
      <c r="K2" s="11">
        <f>VLOOKUP(B2,RATES!$D$8:'RATES'!$E$116,2,FALSE)</f>
        <v>22526.5</v>
      </c>
      <c r="L2" s="11">
        <f>VLOOKUP(B2,PFI!$B$7:'PFI'!$C$102,2,FALSE)</f>
        <v>0</v>
      </c>
      <c r="M2" s="29">
        <f t="shared" ref="M2:M65" si="0">SUM(C2:L2)</f>
        <v>1603315.2558930069</v>
      </c>
      <c r="N2" s="11">
        <f>SUMIF('2015-16 MFG'!B:B,B2,'2015-16 MFG'!W:W)</f>
        <v>0</v>
      </c>
      <c r="O2" s="11">
        <f>SUMIF('2015-16 MFG'!B:B,B2,'2015-16 MFG'!AC:AC)</f>
        <v>0</v>
      </c>
      <c r="P2" s="29">
        <f>SUM(M2:O2)</f>
        <v>1603315.2558930069</v>
      </c>
      <c r="Q2" s="11">
        <f>VLOOKUP(B2,'DE-DEL'!$B$7:'DE-DEL'!$N$101,13,FALSE)</f>
        <v>0</v>
      </c>
      <c r="R2" s="29">
        <f>SUM(P2+Q2)</f>
        <v>1603315.2558930069</v>
      </c>
      <c r="S2" s="11">
        <v>15675</v>
      </c>
      <c r="T2" s="11">
        <v>0</v>
      </c>
      <c r="U2" s="11">
        <v>9009.75</v>
      </c>
      <c r="V2" s="11">
        <v>0</v>
      </c>
      <c r="W2" s="11">
        <v>0</v>
      </c>
      <c r="X2" s="11">
        <v>0</v>
      </c>
      <c r="Y2" s="11">
        <v>0</v>
      </c>
      <c r="Z2" s="29">
        <f t="shared" ref="Z2:Z64" si="1">SUM(R2:Y2)</f>
        <v>1628000.0058930069</v>
      </c>
      <c r="AA2" s="11" t="s">
        <v>1323</v>
      </c>
      <c r="AB2" s="1073" t="s">
        <v>1324</v>
      </c>
      <c r="AD2" s="11" t="s">
        <v>1115</v>
      </c>
      <c r="AF2" s="11"/>
      <c r="AG2" s="11">
        <v>874259.30579999997</v>
      </c>
      <c r="AH2" s="11">
        <v>0</v>
      </c>
      <c r="AI2" s="11">
        <v>1563592.7930930068</v>
      </c>
      <c r="AJ2" s="11">
        <f>P2-AI2</f>
        <v>39722.462800000096</v>
      </c>
      <c r="AM2" s="30">
        <v>2400</v>
      </c>
      <c r="AR2" s="11"/>
    </row>
    <row r="3" spans="1:44" x14ac:dyDescent="0.2">
      <c r="A3" s="9" t="s">
        <v>11</v>
      </c>
      <c r="B3" s="26">
        <v>2443</v>
      </c>
      <c r="C3" s="11">
        <f>VLOOKUP(B3,AWPU!$B$7:'AWPU'!$N$78,13,FALSE)</f>
        <v>651020.53350000002</v>
      </c>
      <c r="D3" s="11">
        <f>VLOOKUP(B3,DEP!$B$6:'DEP'!$O$101,14,FALSE)</f>
        <v>129803.82830160568</v>
      </c>
      <c r="E3" s="11">
        <f>VLOOKUP(B3,LAC!$B$7:'LAC'!$D$102,3,FALSE)</f>
        <v>1332.3176003861004</v>
      </c>
      <c r="F3" s="11">
        <f>VLOOKUP(B3,LCHI!$B$7:'LCHI'!$D$102,3,FALSE)</f>
        <v>0</v>
      </c>
      <c r="G3" s="11">
        <f>VLOOKUP(B3,EAL!$B$7:'EAL'!$G$101,6,FALSE)</f>
        <v>13224.976909090907</v>
      </c>
      <c r="H3" s="11">
        <f>VLOOKUP(B3,MOB!$B$7:'MOB'!$G$101,6,FALSE)</f>
        <v>0</v>
      </c>
      <c r="I3" s="11">
        <f>VLOOKUP(B3,'LUMP SUM'!$B$7:$C$101,2,FALSE)</f>
        <v>100000</v>
      </c>
      <c r="J3" s="11">
        <f>VLOOKUP(B3,'SPLIT SITE'!$B$7:'SPLIT SITE'!$C$101,2,FALSE)</f>
        <v>0</v>
      </c>
      <c r="K3" s="11">
        <f>VLOOKUP(B3,RATES!$D$8:'RATES'!$E$116,2,FALSE)</f>
        <v>3753.3899999999994</v>
      </c>
      <c r="L3" s="11">
        <f>VLOOKUP(B3,PFI!$B$7:'PFI'!$C$102,2,FALSE)</f>
        <v>0</v>
      </c>
      <c r="M3" s="29">
        <f t="shared" si="0"/>
        <v>899135.04631108267</v>
      </c>
      <c r="N3" s="11">
        <f>SUMIF('2015-16 MFG'!B:B,B3,'2015-16 MFG'!W:W)</f>
        <v>0</v>
      </c>
      <c r="O3" s="11">
        <f>SUMIF('2015-16 MFG'!B:B,B3,'2015-16 MFG'!AC:AC)</f>
        <v>0</v>
      </c>
      <c r="P3" s="29">
        <f t="shared" ref="P3:P66" si="2">SUM(M3:O3)</f>
        <v>899135.04631108267</v>
      </c>
      <c r="Q3" s="11">
        <f ca="1">VLOOKUP(B3,'DE-DEL'!$B$7:'DE-DEL'!$N$101,13,FALSE)</f>
        <v>-19543.2</v>
      </c>
      <c r="R3" s="29">
        <f t="shared" ref="R3:R66" ca="1" si="3">SUM(P3+Q3)</f>
        <v>879591.84631108271</v>
      </c>
      <c r="S3" s="11">
        <v>15000</v>
      </c>
      <c r="T3" s="11">
        <v>0</v>
      </c>
      <c r="U3" s="11">
        <v>12763.8125</v>
      </c>
      <c r="V3" s="11">
        <v>0</v>
      </c>
      <c r="W3" s="11">
        <v>0</v>
      </c>
      <c r="X3" s="11">
        <v>102173.44321183272</v>
      </c>
      <c r="Y3" s="11">
        <v>0</v>
      </c>
      <c r="Z3" s="29">
        <f t="shared" ca="1" si="1"/>
        <v>1009529.1020229154</v>
      </c>
      <c r="AD3" s="11" t="s">
        <v>1116</v>
      </c>
      <c r="AF3" s="11"/>
      <c r="AG3" s="11">
        <v>622726.60049999994</v>
      </c>
      <c r="AH3" s="11">
        <v>25985.103298593429</v>
      </c>
      <c r="AI3" s="11">
        <v>896826.21660967602</v>
      </c>
      <c r="AJ3" s="11">
        <f t="shared" ref="AJ3:AJ66" si="4">P3-AI3</f>
        <v>2308.8297014066484</v>
      </c>
      <c r="AM3" s="30">
        <v>2443</v>
      </c>
      <c r="AP3" s="11"/>
      <c r="AQ3" s="11"/>
      <c r="AR3" s="11"/>
    </row>
    <row r="4" spans="1:44" x14ac:dyDescent="0.2">
      <c r="A4" s="9" t="s">
        <v>94</v>
      </c>
      <c r="B4" s="26">
        <v>2442</v>
      </c>
      <c r="C4" s="11">
        <f>VLOOKUP(B4,AWPU!$B$7:'AWPU'!$N$78,13,FALSE)</f>
        <v>788883.70530000003</v>
      </c>
      <c r="D4" s="11">
        <f>VLOOKUP(B4,DEP!$B$6:'DEP'!$O$101,14,FALSE)</f>
        <v>198388.25276731647</v>
      </c>
      <c r="E4" s="11">
        <f>VLOOKUP(B4,LAC!$B$7:'LAC'!$D$102,3,FALSE)</f>
        <v>0</v>
      </c>
      <c r="F4" s="11">
        <f>VLOOKUP(B4,LCHI!$B$7:'LCHI'!$D$102,3,FALSE)</f>
        <v>0</v>
      </c>
      <c r="G4" s="11">
        <f>VLOOKUP(B4,EAL!$B$7:'EAL'!$G$101,6,FALSE)</f>
        <v>2609.4251072368425</v>
      </c>
      <c r="H4" s="11">
        <f>VLOOKUP(B4,MOB!$B$7:'MOB'!$G$101,6,FALSE)</f>
        <v>0</v>
      </c>
      <c r="I4" s="11">
        <f>VLOOKUP(B4,'LUMP SUM'!$B$7:$C$101,2,FALSE)</f>
        <v>100000</v>
      </c>
      <c r="J4" s="11">
        <f>VLOOKUP(B4,'SPLIT SITE'!$B$7:'SPLIT SITE'!$C$101,2,FALSE)</f>
        <v>0</v>
      </c>
      <c r="K4" s="11">
        <f>VLOOKUP(B4,RATES!$D$8:'RATES'!$E$116,2,FALSE)</f>
        <v>3753.3899999999994</v>
      </c>
      <c r="L4" s="11">
        <f>VLOOKUP(B4,PFI!$B$7:'PFI'!$C$102,2,FALSE)</f>
        <v>0</v>
      </c>
      <c r="M4" s="29">
        <f t="shared" si="0"/>
        <v>1093634.7731745534</v>
      </c>
      <c r="N4" s="11">
        <f>SUMIF('2015-16 MFG'!B:B,B4,'2015-16 MFG'!W:W)</f>
        <v>0</v>
      </c>
      <c r="O4" s="11">
        <f>SUMIF('2015-16 MFG'!B:B,B4,'2015-16 MFG'!AC:AC)</f>
        <v>0</v>
      </c>
      <c r="P4" s="29">
        <f t="shared" si="2"/>
        <v>1093634.7731745534</v>
      </c>
      <c r="Q4" s="11">
        <f ca="1">VLOOKUP(B4,'DE-DEL'!$B$7:'DE-DEL'!$N$101,13,FALSE)</f>
        <v>-23681.759999999998</v>
      </c>
      <c r="R4" s="29">
        <f t="shared" ca="1" si="3"/>
        <v>1069953.0131745534</v>
      </c>
      <c r="S4" s="11">
        <v>0</v>
      </c>
      <c r="T4" s="11">
        <v>245587.07500000001</v>
      </c>
      <c r="U4" s="11">
        <v>0</v>
      </c>
      <c r="V4" s="11">
        <v>0</v>
      </c>
      <c r="W4" s="11">
        <v>0</v>
      </c>
      <c r="X4" s="11">
        <v>0</v>
      </c>
      <c r="Y4" s="11">
        <v>0</v>
      </c>
      <c r="Z4" s="29">
        <f t="shared" ca="1" si="1"/>
        <v>1315540.0881745534</v>
      </c>
      <c r="AD4" s="11" t="s">
        <v>1117</v>
      </c>
      <c r="AF4" s="11"/>
      <c r="AG4" s="11">
        <v>754598.11589999998</v>
      </c>
      <c r="AH4" s="11">
        <v>25535.357226229971</v>
      </c>
      <c r="AI4" s="11">
        <v>1084884.541000783</v>
      </c>
      <c r="AJ4" s="11">
        <f t="shared" si="4"/>
        <v>8750.2321737704333</v>
      </c>
      <c r="AM4" s="30">
        <v>2442</v>
      </c>
      <c r="AP4" s="11"/>
      <c r="AQ4" s="11"/>
      <c r="AR4" s="11"/>
    </row>
    <row r="5" spans="1:44" x14ac:dyDescent="0.2">
      <c r="A5" s="9" t="s">
        <v>13</v>
      </c>
      <c r="B5" s="26">
        <v>2629</v>
      </c>
      <c r="C5" s="11">
        <f>VLOOKUP(B5,AWPU!$B$7:'AWPU'!$N$78,13,FALSE)</f>
        <v>1100352.3527000002</v>
      </c>
      <c r="D5" s="11">
        <f>VLOOKUP(B5,DEP!$B$6:'DEP'!$O$101,14,FALSE)</f>
        <v>359812.74109937332</v>
      </c>
      <c r="E5" s="11">
        <f>VLOOKUP(B5,LAC!$B$7:'LAC'!$D$102,3,FALSE)</f>
        <v>1454.4548571072319</v>
      </c>
      <c r="F5" s="11">
        <f>VLOOKUP(B5,LCHI!$B$7:'LCHI'!$D$102,3,FALSE)</f>
        <v>0</v>
      </c>
      <c r="G5" s="11">
        <f>VLOOKUP(B5,EAL!$B$7:'EAL'!$G$101,6,FALSE)</f>
        <v>206825.1860867402</v>
      </c>
      <c r="H5" s="11">
        <f>VLOOKUP(B5,MOB!$B$7:'MOB'!$G$101,6,FALSE)</f>
        <v>24192.812917431151</v>
      </c>
      <c r="I5" s="11">
        <f>VLOOKUP(B5,'LUMP SUM'!$B$7:$C$101,2,FALSE)</f>
        <v>100000</v>
      </c>
      <c r="J5" s="11">
        <f>VLOOKUP(B5,'SPLIT SITE'!$B$7:'SPLIT SITE'!$C$101,2,FALSE)</f>
        <v>0</v>
      </c>
      <c r="K5" s="11">
        <f>VLOOKUP(B5,RATES!$D$8:'RATES'!$E$116,2,FALSE)</f>
        <v>31287.54</v>
      </c>
      <c r="L5" s="11">
        <f>VLOOKUP(B5,PFI!$B$7:'PFI'!$C$102,2,FALSE)</f>
        <v>0</v>
      </c>
      <c r="M5" s="29">
        <f t="shared" si="0"/>
        <v>1823925.0876606521</v>
      </c>
      <c r="N5" s="11">
        <f>SUMIF('2015-16 MFG'!B:B,B5,'2015-16 MFG'!W:W)</f>
        <v>20886.479451792082</v>
      </c>
      <c r="O5" s="11">
        <f>SUMIF('2015-16 MFG'!B:B,B5,'2015-16 MFG'!AC:AC)</f>
        <v>0</v>
      </c>
      <c r="P5" s="29">
        <f t="shared" si="2"/>
        <v>1844811.5671124442</v>
      </c>
      <c r="Q5" s="11">
        <f ca="1">VLOOKUP(B5,'DE-DEL'!$B$7:'DE-DEL'!$N$101,13,FALSE)</f>
        <v>-33031.840000000004</v>
      </c>
      <c r="R5" s="29">
        <f t="shared" ca="1" si="3"/>
        <v>1811779.7271124441</v>
      </c>
      <c r="S5" s="11">
        <v>33160</v>
      </c>
      <c r="T5" s="11">
        <v>88219.97</v>
      </c>
      <c r="U5" s="11">
        <v>8509.2083333333339</v>
      </c>
      <c r="V5" s="11">
        <v>0</v>
      </c>
      <c r="W5" s="11">
        <v>0</v>
      </c>
      <c r="X5" s="11">
        <v>191927.96479481822</v>
      </c>
      <c r="Y5" s="11">
        <v>0</v>
      </c>
      <c r="Z5" s="29">
        <f t="shared" ca="1" si="1"/>
        <v>2133596.8702405957</v>
      </c>
      <c r="AD5" s="11" t="s">
        <v>1118</v>
      </c>
      <c r="AF5" s="11"/>
      <c r="AG5" s="11">
        <v>1052530.0581</v>
      </c>
      <c r="AH5" s="11">
        <v>68708.774051792221</v>
      </c>
      <c r="AI5" s="11">
        <v>1844811.5671124442</v>
      </c>
      <c r="AJ5" s="11">
        <f t="shared" si="4"/>
        <v>0</v>
      </c>
      <c r="AM5" s="30">
        <v>2629</v>
      </c>
      <c r="AP5" s="11"/>
      <c r="AQ5" s="11"/>
      <c r="AR5" s="11"/>
    </row>
    <row r="6" spans="1:44" x14ac:dyDescent="0.2">
      <c r="A6" s="9" t="s">
        <v>14</v>
      </c>
      <c r="B6" s="26">
        <v>2509</v>
      </c>
      <c r="C6" s="11">
        <f>VLOOKUP(B6,AWPU!$B$7:'AWPU'!$N$78,13,FALSE)</f>
        <v>497839.23150000005</v>
      </c>
      <c r="D6" s="11">
        <f>VLOOKUP(B6,DEP!$B$6:'DEP'!$O$101,14,FALSE)</f>
        <v>106262.61238003393</v>
      </c>
      <c r="E6" s="11">
        <f>VLOOKUP(B6,LAC!$B$7:'LAC'!$D$102,3,FALSE)</f>
        <v>2706.4333999999999</v>
      </c>
      <c r="F6" s="11">
        <f>VLOOKUP(B6,LCHI!$B$7:'LCHI'!$D$102,3,FALSE)</f>
        <v>0</v>
      </c>
      <c r="G6" s="11">
        <f>VLOOKUP(B6,EAL!$B$7:'EAL'!$G$101,6,FALSE)</f>
        <v>23677.229128378396</v>
      </c>
      <c r="H6" s="11">
        <f>VLOOKUP(B6,MOB!$B$7:'MOB'!$G$101,6,FALSE)</f>
        <v>4198.880000000011</v>
      </c>
      <c r="I6" s="11">
        <f>VLOOKUP(B6,'LUMP SUM'!$B$7:$C$101,2,FALSE)</f>
        <v>100000</v>
      </c>
      <c r="J6" s="11">
        <f>VLOOKUP(B6,'SPLIT SITE'!$B$7:'SPLIT SITE'!$C$101,2,FALSE)</f>
        <v>0</v>
      </c>
      <c r="K6" s="11">
        <f>VLOOKUP(B6,RATES!$D$8:'RATES'!$E$116,2,FALSE)</f>
        <v>2482.17</v>
      </c>
      <c r="L6" s="11">
        <f>VLOOKUP(B6,PFI!$B$7:'PFI'!$C$102,2,FALSE)</f>
        <v>0</v>
      </c>
      <c r="M6" s="29">
        <f t="shared" si="0"/>
        <v>737166.55640841241</v>
      </c>
      <c r="N6" s="11">
        <f>SUMIF('2015-16 MFG'!B:B,B6,'2015-16 MFG'!W:W)</f>
        <v>0</v>
      </c>
      <c r="O6" s="11">
        <f>SUMIF('2015-16 MFG'!B:B,B6,'2015-16 MFG'!AC:AC)</f>
        <v>0</v>
      </c>
      <c r="P6" s="29">
        <f t="shared" si="2"/>
        <v>737166.55640841241</v>
      </c>
      <c r="Q6" s="11">
        <f ca="1">VLOOKUP(B6,'DE-DEL'!$B$7:'DE-DEL'!$N$101,13,FALSE)</f>
        <v>-14944.8</v>
      </c>
      <c r="R6" s="29">
        <f t="shared" ca="1" si="3"/>
        <v>722221.75640841236</v>
      </c>
      <c r="S6" s="11">
        <v>32700</v>
      </c>
      <c r="T6" s="11">
        <v>0</v>
      </c>
      <c r="U6" s="11">
        <v>3003.25</v>
      </c>
      <c r="V6" s="11">
        <v>0</v>
      </c>
      <c r="W6" s="11">
        <v>0</v>
      </c>
      <c r="X6" s="11">
        <v>0</v>
      </c>
      <c r="Y6" s="11">
        <v>0</v>
      </c>
      <c r="Z6" s="29">
        <f t="shared" ca="1" si="1"/>
        <v>757925.00640841236</v>
      </c>
      <c r="AD6" s="11" t="s">
        <v>1119</v>
      </c>
      <c r="AF6" s="11"/>
      <c r="AG6" s="11">
        <v>476202.69449999998</v>
      </c>
      <c r="AH6" s="11">
        <v>3442.3158037987305</v>
      </c>
      <c r="AI6" s="11">
        <v>718972.33521221112</v>
      </c>
      <c r="AJ6" s="11">
        <f t="shared" si="4"/>
        <v>18194.221196201281</v>
      </c>
      <c r="AM6" s="30">
        <v>2509</v>
      </c>
      <c r="AP6" s="11"/>
      <c r="AQ6" s="11"/>
      <c r="AR6" s="11"/>
    </row>
    <row r="7" spans="1:44" x14ac:dyDescent="0.2">
      <c r="A7" s="9" t="s">
        <v>15</v>
      </c>
      <c r="B7" s="26">
        <v>2005</v>
      </c>
      <c r="C7" s="11">
        <f>VLOOKUP(B7,AWPU!$B$7:'AWPU'!$N$78,13,FALSE)</f>
        <v>824626.00910000002</v>
      </c>
      <c r="D7" s="11">
        <f>VLOOKUP(B7,DEP!$B$6:'DEP'!$O$101,14,FALSE)</f>
        <v>266622.09556290804</v>
      </c>
      <c r="E7" s="11">
        <f>VLOOKUP(B7,LAC!$B$7:'LAC'!$D$102,3,FALSE)</f>
        <v>0</v>
      </c>
      <c r="F7" s="11">
        <f>VLOOKUP(B7,LCHI!$B$7:'LCHI'!$D$102,3,FALSE)</f>
        <v>0</v>
      </c>
      <c r="G7" s="11">
        <f>VLOOKUP(B7,EAL!$B$7:'EAL'!$G$101,6,FALSE)</f>
        <v>30821.807695683321</v>
      </c>
      <c r="H7" s="11">
        <f>VLOOKUP(B7,MOB!$B$7:'MOB'!$G$101,6,FALSE)</f>
        <v>34430.816000000123</v>
      </c>
      <c r="I7" s="11">
        <f>VLOOKUP(B7,'LUMP SUM'!$B$7:$C$101,2,FALSE)</f>
        <v>100000</v>
      </c>
      <c r="J7" s="11">
        <f>VLOOKUP(B7,'SPLIT SITE'!$B$7:'SPLIT SITE'!$C$101,2,FALSE)</f>
        <v>0</v>
      </c>
      <c r="K7" s="11">
        <f>VLOOKUP(B7,RATES!$D$8:'RATES'!$E$116,2,FALSE)</f>
        <v>6447.2500000000009</v>
      </c>
      <c r="L7" s="11">
        <f>VLOOKUP(B7,PFI!$B$7:'PFI'!$C$102,2,FALSE)</f>
        <v>0</v>
      </c>
      <c r="M7" s="29">
        <f t="shared" si="0"/>
        <v>1262947.9783585914</v>
      </c>
      <c r="N7" s="11">
        <f>SUMIF('2015-16 MFG'!B:B,B7,'2015-16 MFG'!W:W)</f>
        <v>0</v>
      </c>
      <c r="O7" s="11">
        <f>SUMIF('2015-16 MFG'!B:B,B7,'2015-16 MFG'!AC:AC)</f>
        <v>0</v>
      </c>
      <c r="P7" s="29">
        <f t="shared" si="2"/>
        <v>1262947.9783585914</v>
      </c>
      <c r="Q7" s="11">
        <f ca="1">VLOOKUP(B7,'DE-DEL'!$B$7:'DE-DEL'!$N$101,13,FALSE)</f>
        <v>-24754.720000000001</v>
      </c>
      <c r="R7" s="29">
        <f t="shared" ca="1" si="3"/>
        <v>1238193.2583585915</v>
      </c>
      <c r="S7" s="11">
        <v>27025</v>
      </c>
      <c r="T7" s="11">
        <v>0</v>
      </c>
      <c r="U7" s="11">
        <v>0</v>
      </c>
      <c r="V7" s="11">
        <v>0</v>
      </c>
      <c r="W7" s="11">
        <v>0</v>
      </c>
      <c r="X7" s="11">
        <v>0</v>
      </c>
      <c r="Y7" s="11">
        <v>0</v>
      </c>
      <c r="Z7" s="29">
        <f t="shared" ca="1" si="1"/>
        <v>1265218.2583585915</v>
      </c>
      <c r="AD7" s="11" t="s">
        <v>1120</v>
      </c>
      <c r="AF7" s="11"/>
      <c r="AG7" s="11">
        <v>788787.02729999996</v>
      </c>
      <c r="AH7" s="11">
        <v>0</v>
      </c>
      <c r="AI7" s="11">
        <v>1227108.9965585915</v>
      </c>
      <c r="AJ7" s="11">
        <f t="shared" si="4"/>
        <v>35838.98179999995</v>
      </c>
      <c r="AM7" s="30">
        <v>2005</v>
      </c>
      <c r="AR7" s="11"/>
    </row>
    <row r="8" spans="1:44" x14ac:dyDescent="0.2">
      <c r="A8" s="9" t="s">
        <v>16</v>
      </c>
      <c r="B8" s="26">
        <v>2464</v>
      </c>
      <c r="C8" s="11">
        <f>VLOOKUP(B8,AWPU!$B$7:'AWPU'!$N$78,13,FALSE)</f>
        <v>490180.16640000005</v>
      </c>
      <c r="D8" s="11">
        <f>VLOOKUP(B8,DEP!$B$6:'DEP'!$O$101,14,FALSE)</f>
        <v>97458.002307210176</v>
      </c>
      <c r="E8" s="11">
        <f>VLOOKUP(B8,LAC!$B$7:'LAC'!$D$102,3,FALSE)</f>
        <v>0</v>
      </c>
      <c r="F8" s="11">
        <f>VLOOKUP(B8,LCHI!$B$7:'LCHI'!$D$102,3,FALSE)</f>
        <v>0</v>
      </c>
      <c r="G8" s="11">
        <f>VLOOKUP(B8,EAL!$B$7:'EAL'!$G$101,6,FALSE)</f>
        <v>1007.9809177914103</v>
      </c>
      <c r="H8" s="11">
        <f>VLOOKUP(B8,MOB!$B$7:'MOB'!$G$101,6,FALSE)</f>
        <v>0</v>
      </c>
      <c r="I8" s="11">
        <f>VLOOKUP(B8,'LUMP SUM'!$B$7:$C$101,2,FALSE)</f>
        <v>100000</v>
      </c>
      <c r="J8" s="11">
        <f>VLOOKUP(B8,'SPLIT SITE'!$B$7:'SPLIT SITE'!$C$101,2,FALSE)</f>
        <v>0</v>
      </c>
      <c r="K8" s="11">
        <f>VLOOKUP(B8,RATES!$D$8:'RATES'!$E$116,2,FALSE)</f>
        <v>-578.09000000000015</v>
      </c>
      <c r="L8" s="11">
        <f>VLOOKUP(B8,PFI!$B$7:'PFI'!$C$102,2,FALSE)</f>
        <v>0</v>
      </c>
      <c r="M8" s="29">
        <f t="shared" si="0"/>
        <v>688068.05962500162</v>
      </c>
      <c r="N8" s="11">
        <f>SUMIF('2015-16 MFG'!B:B,B8,'2015-16 MFG'!W:W)</f>
        <v>43655.923176119104</v>
      </c>
      <c r="O8" s="11">
        <f>SUMIF('2015-16 MFG'!B:B,B8,'2015-16 MFG'!AC:AC)</f>
        <v>0</v>
      </c>
      <c r="P8" s="29">
        <f t="shared" si="2"/>
        <v>731723.98280112073</v>
      </c>
      <c r="Q8" s="11">
        <f ca="1">VLOOKUP(B8,'DE-DEL'!$B$7:'DE-DEL'!$N$101,13,FALSE)</f>
        <v>-14714.880000000001</v>
      </c>
      <c r="R8" s="29">
        <f t="shared" ca="1" si="3"/>
        <v>717009.10280112072</v>
      </c>
      <c r="S8" s="11">
        <v>7270</v>
      </c>
      <c r="T8" s="11">
        <v>0</v>
      </c>
      <c r="U8" s="11">
        <v>0</v>
      </c>
      <c r="V8" s="11">
        <v>0</v>
      </c>
      <c r="W8" s="11">
        <v>0</v>
      </c>
      <c r="X8" s="11">
        <v>79511.729709737454</v>
      </c>
      <c r="Y8" s="11">
        <v>0</v>
      </c>
      <c r="Z8" s="29">
        <f t="shared" ca="1" si="1"/>
        <v>803790.83251085819</v>
      </c>
      <c r="AD8" s="11" t="s">
        <v>1121</v>
      </c>
      <c r="AF8" s="11"/>
      <c r="AG8" s="11">
        <v>468876.49919999996</v>
      </c>
      <c r="AH8" s="11">
        <v>64959.590376119246</v>
      </c>
      <c r="AI8" s="11">
        <v>731723.98280112073</v>
      </c>
      <c r="AJ8" s="11">
        <f t="shared" si="4"/>
        <v>0</v>
      </c>
      <c r="AM8" s="30">
        <v>2464</v>
      </c>
      <c r="AP8" s="11"/>
      <c r="AQ8" s="11"/>
      <c r="AR8" s="11"/>
    </row>
    <row r="9" spans="1:44" x14ac:dyDescent="0.2">
      <c r="A9" s="9" t="s">
        <v>17</v>
      </c>
      <c r="B9" s="26">
        <v>2004</v>
      </c>
      <c r="C9" s="11">
        <f>VLOOKUP(B9,AWPU!$B$7:'AWPU'!$N$78,13,FALSE)</f>
        <v>694421.90240000002</v>
      </c>
      <c r="D9" s="11">
        <f>VLOOKUP(B9,DEP!$B$6:'DEP'!$O$101,14,FALSE)</f>
        <v>350956.08662044629</v>
      </c>
      <c r="E9" s="11">
        <f>VLOOKUP(B9,LAC!$B$7:'LAC'!$D$102,3,FALSE)</f>
        <v>0</v>
      </c>
      <c r="F9" s="11">
        <f>VLOOKUP(B9,LCHI!$B$7:'LCHI'!$D$102,3,FALSE)</f>
        <v>0</v>
      </c>
      <c r="G9" s="11">
        <f>VLOOKUP(B9,EAL!$B$7:'EAL'!$G$101,6,FALSE)</f>
        <v>13691.740799999998</v>
      </c>
      <c r="H9" s="11">
        <f>VLOOKUP(B9,MOB!$B$7:'MOB'!$G$101,6,FALSE)</f>
        <v>5758.4639999998626</v>
      </c>
      <c r="I9" s="11">
        <f>VLOOKUP(B9,'LUMP SUM'!$B$7:$C$101,2,FALSE)</f>
        <v>100000</v>
      </c>
      <c r="J9" s="11">
        <f>VLOOKUP(B9,'SPLIT SITE'!$B$7:'SPLIT SITE'!$C$101,2,FALSE)</f>
        <v>0</v>
      </c>
      <c r="K9" s="11">
        <f>VLOOKUP(B9,RATES!$D$8:'RATES'!$E$116,2,FALSE)</f>
        <v>198.68000000000029</v>
      </c>
      <c r="L9" s="11">
        <f>VLOOKUP(B9,PFI!$B$7:'PFI'!$C$102,2,FALSE)</f>
        <v>0</v>
      </c>
      <c r="M9" s="29">
        <f t="shared" si="0"/>
        <v>1165026.8738204462</v>
      </c>
      <c r="N9" s="11">
        <f>SUMIF('2015-16 MFG'!B:B,B9,'2015-16 MFG'!W:W)</f>
        <v>59462.518725579139</v>
      </c>
      <c r="O9" s="11">
        <f>SUMIF('2015-16 MFG'!B:B,B9,'2015-16 MFG'!AC:AC)</f>
        <v>0</v>
      </c>
      <c r="P9" s="29">
        <f t="shared" si="2"/>
        <v>1224489.3925460253</v>
      </c>
      <c r="Q9" s="11">
        <f ca="1">VLOOKUP(B9,'DE-DEL'!$B$7:'DE-DEL'!$N$101,13,FALSE)</f>
        <v>-20846.080000000002</v>
      </c>
      <c r="R9" s="29">
        <f t="shared" ca="1" si="3"/>
        <v>1203643.3125460253</v>
      </c>
      <c r="S9" s="11">
        <v>39510</v>
      </c>
      <c r="T9" s="11">
        <v>0</v>
      </c>
      <c r="U9" s="11">
        <v>0</v>
      </c>
      <c r="V9" s="11">
        <v>0</v>
      </c>
      <c r="W9" s="11">
        <v>0</v>
      </c>
      <c r="X9" s="11">
        <v>86704.589573483376</v>
      </c>
      <c r="Y9" s="11">
        <v>0</v>
      </c>
      <c r="Z9" s="29">
        <f t="shared" ca="1" si="1"/>
        <v>1329857.9021195087</v>
      </c>
      <c r="AD9" s="11" t="s">
        <v>1122</v>
      </c>
      <c r="AF9" s="11"/>
      <c r="AG9" s="11">
        <v>664241.70719999995</v>
      </c>
      <c r="AH9" s="11">
        <v>89642.713925579097</v>
      </c>
      <c r="AI9" s="11">
        <v>1224489.3925460253</v>
      </c>
      <c r="AJ9" s="11">
        <f t="shared" si="4"/>
        <v>0</v>
      </c>
      <c r="AM9" s="30">
        <v>2004</v>
      </c>
      <c r="AR9" s="11"/>
    </row>
    <row r="10" spans="1:44" x14ac:dyDescent="0.2">
      <c r="A10" s="9" t="s">
        <v>18</v>
      </c>
      <c r="B10" s="26">
        <v>2405</v>
      </c>
      <c r="C10" s="11">
        <f>VLOOKUP(B10,AWPU!$B$7:'AWPU'!$N$78,13,FALSE)</f>
        <v>513157.36170000007</v>
      </c>
      <c r="D10" s="11">
        <f>VLOOKUP(B10,DEP!$B$6:'DEP'!$O$101,14,FALSE)</f>
        <v>190167.49574074239</v>
      </c>
      <c r="E10" s="11">
        <f>VLOOKUP(B10,LAC!$B$7:'LAC'!$D$102,3,FALSE)</f>
        <v>0</v>
      </c>
      <c r="F10" s="11">
        <f>VLOOKUP(B10,LCHI!$B$7:'LCHI'!$D$102,3,FALSE)</f>
        <v>0</v>
      </c>
      <c r="G10" s="11">
        <f>VLOOKUP(B10,EAL!$B$7:'EAL'!$G$101,6,FALSE)</f>
        <v>34011.792559321977</v>
      </c>
      <c r="H10" s="11">
        <f>VLOOKUP(B10,MOB!$B$7:'MOB'!$G$101,6,FALSE)</f>
        <v>0</v>
      </c>
      <c r="I10" s="11">
        <f>VLOOKUP(B10,'LUMP SUM'!$B$7:$C$101,2,FALSE)</f>
        <v>100000</v>
      </c>
      <c r="J10" s="11">
        <f>VLOOKUP(B10,'SPLIT SITE'!$B$7:'SPLIT SITE'!$C$101,2,FALSE)</f>
        <v>0</v>
      </c>
      <c r="K10" s="11">
        <f>VLOOKUP(B10,RATES!$D$8:'RATES'!$E$116,2,FALSE)</f>
        <v>-5838.4700000000012</v>
      </c>
      <c r="L10" s="11">
        <f>VLOOKUP(B10,PFI!$B$7:'PFI'!$C$102,2,FALSE)</f>
        <v>0</v>
      </c>
      <c r="M10" s="29">
        <f t="shared" si="0"/>
        <v>831498.18000006443</v>
      </c>
      <c r="N10" s="11">
        <f>SUMIF('2015-16 MFG'!B:B,B10,'2015-16 MFG'!W:W)</f>
        <v>9033.4111288044369</v>
      </c>
      <c r="O10" s="11">
        <f>SUMIF('2015-16 MFG'!B:B,B10,'2015-16 MFG'!AC:AC)</f>
        <v>0</v>
      </c>
      <c r="P10" s="29">
        <f t="shared" si="2"/>
        <v>840531.59112886887</v>
      </c>
      <c r="Q10" s="11">
        <f ca="1">VLOOKUP(B10,'DE-DEL'!$B$7:'DE-DEL'!$N$101,13,FALSE)</f>
        <v>-15404.64</v>
      </c>
      <c r="R10" s="29">
        <f t="shared" ca="1" si="3"/>
        <v>825126.95112886885</v>
      </c>
      <c r="S10" s="11">
        <v>5000</v>
      </c>
      <c r="T10" s="11">
        <v>115515.58500000001</v>
      </c>
      <c r="U10" s="11">
        <v>13514.625</v>
      </c>
      <c r="V10" s="11">
        <v>0</v>
      </c>
      <c r="W10" s="11">
        <v>0</v>
      </c>
      <c r="X10" s="11">
        <v>85959.257933480912</v>
      </c>
      <c r="Y10" s="11">
        <v>0</v>
      </c>
      <c r="Z10" s="29">
        <f t="shared" ca="1" si="1"/>
        <v>1045116.4190623497</v>
      </c>
      <c r="AD10" s="11" t="s">
        <v>1123</v>
      </c>
      <c r="AF10" s="11"/>
      <c r="AG10" s="11">
        <v>490855.08509999997</v>
      </c>
      <c r="AH10" s="11">
        <v>31335.687728804536</v>
      </c>
      <c r="AI10" s="11">
        <v>840531.59112886887</v>
      </c>
      <c r="AJ10" s="11">
        <f t="shared" si="4"/>
        <v>0</v>
      </c>
      <c r="AM10" s="30">
        <v>2405</v>
      </c>
      <c r="AR10" s="11"/>
    </row>
    <row r="11" spans="1:44" x14ac:dyDescent="0.2">
      <c r="A11" s="9" t="s">
        <v>95</v>
      </c>
      <c r="B11" s="1117">
        <v>2011</v>
      </c>
      <c r="C11" s="11">
        <f>VLOOKUP(B11,AWPU!$B$7:'AWPU'!$N$78,13,FALSE)</f>
        <v>546346.64380000008</v>
      </c>
      <c r="D11" s="11">
        <f>VLOOKUP(B11,DEP!$B$6:'DEP'!$O$101,14,FALSE)</f>
        <v>133684.05204528177</v>
      </c>
      <c r="E11" s="11">
        <f>VLOOKUP(B11,LAC!$B$7:'LAC'!$D$102,3,FALSE)</f>
        <v>0</v>
      </c>
      <c r="F11" s="11">
        <f>VLOOKUP(B11,LCHI!$B$7:'LCHI'!$D$102,3,FALSE)</f>
        <v>0</v>
      </c>
      <c r="G11" s="11">
        <f>VLOOKUP(B11,EAL!$B$7:'EAL'!$G$101,6,FALSE)</f>
        <v>10061.924901098893</v>
      </c>
      <c r="H11" s="11">
        <f>VLOOKUP(B11,MOB!$B$7:'MOB'!$G$101,6,FALSE)</f>
        <v>0</v>
      </c>
      <c r="I11" s="11">
        <f>VLOOKUP(B11,'LUMP SUM'!$B$7:$C$101,2,FALSE)</f>
        <v>100000</v>
      </c>
      <c r="J11" s="11">
        <f>VLOOKUP(B11,'SPLIT SITE'!$B$7:'SPLIT SITE'!$C$101,2,FALSE)</f>
        <v>0</v>
      </c>
      <c r="K11" s="11">
        <f>VLOOKUP(B11,RATES!$D$8:'RATES'!$E$116,2,FALSE)</f>
        <v>4856.0499999999993</v>
      </c>
      <c r="L11" s="11">
        <f>VLOOKUP(B11,PFI!$B$7:'PFI'!$C$102,2,FALSE)</f>
        <v>0</v>
      </c>
      <c r="M11" s="29">
        <f t="shared" si="0"/>
        <v>794948.67074638081</v>
      </c>
      <c r="N11" s="11">
        <f>SUMIF('2015-16 MFG'!B:B,B11,'2015-16 MFG'!W:W)</f>
        <v>1544.6942790300818</v>
      </c>
      <c r="O11" s="11">
        <f>SUMIF('2015-16 MFG'!B:B,B11,'2015-16 MFG'!AC:AC)</f>
        <v>0</v>
      </c>
      <c r="P11" s="29">
        <f t="shared" si="2"/>
        <v>796493.36502541089</v>
      </c>
      <c r="Q11" s="11">
        <f>VLOOKUP(B11,'DE-DEL'!$B$7:'DE-DEL'!$N$101,13,FALSE)</f>
        <v>0</v>
      </c>
      <c r="R11" s="29">
        <f t="shared" si="3"/>
        <v>796493.36502541089</v>
      </c>
      <c r="S11" s="11">
        <v>42915</v>
      </c>
      <c r="T11" s="11">
        <v>0</v>
      </c>
      <c r="U11" s="11">
        <v>31784.395833333336</v>
      </c>
      <c r="V11" s="11">
        <v>0</v>
      </c>
      <c r="W11" s="11">
        <v>0</v>
      </c>
      <c r="X11" s="11">
        <v>71411.733000000007</v>
      </c>
      <c r="Y11" s="11">
        <v>0</v>
      </c>
      <c r="Z11" s="29">
        <f t="shared" si="1"/>
        <v>942604.49385874427</v>
      </c>
      <c r="AA11" s="11" t="s">
        <v>1323</v>
      </c>
      <c r="AB11" s="1073" t="s">
        <v>1325</v>
      </c>
      <c r="AD11" s="1118">
        <v>8312011</v>
      </c>
      <c r="AF11" s="11"/>
      <c r="AG11" s="11">
        <v>522601.93139999994</v>
      </c>
      <c r="AH11" s="11">
        <v>25289.406679030159</v>
      </c>
      <c r="AI11" s="11">
        <v>796493.36502541089</v>
      </c>
      <c r="AJ11" s="11">
        <f t="shared" si="4"/>
        <v>0</v>
      </c>
      <c r="AM11" s="30">
        <v>3525</v>
      </c>
      <c r="AP11" s="11"/>
      <c r="AQ11" s="11"/>
      <c r="AR11" s="11"/>
    </row>
    <row r="12" spans="1:44" x14ac:dyDescent="0.2">
      <c r="A12" s="9" t="s">
        <v>20</v>
      </c>
      <c r="B12" s="26">
        <v>5201</v>
      </c>
      <c r="C12" s="11">
        <f>VLOOKUP(B12,AWPU!$B$7:'AWPU'!$N$78,13,FALSE)</f>
        <v>1069716.0923000001</v>
      </c>
      <c r="D12" s="11">
        <f>VLOOKUP(B12,DEP!$B$6:'DEP'!$O$101,14,FALSE)</f>
        <v>89432.584876583103</v>
      </c>
      <c r="E12" s="11">
        <f>VLOOKUP(B12,LAC!$B$7:'LAC'!$D$102,3,FALSE)</f>
        <v>1431.8126194444444</v>
      </c>
      <c r="F12" s="11">
        <f>VLOOKUP(B12,LCHI!$B$7:'LCHI'!$D$102,3,FALSE)</f>
        <v>0</v>
      </c>
      <c r="G12" s="11">
        <f>VLOOKUP(B12,EAL!$B$7:'EAL'!$G$101,6,FALSE)</f>
        <v>2987.9371849999989</v>
      </c>
      <c r="H12" s="11">
        <f>VLOOKUP(B12,MOB!$B$7:'MOB'!$G$101,6,FALSE)</f>
        <v>0</v>
      </c>
      <c r="I12" s="11">
        <f>VLOOKUP(B12,'LUMP SUM'!$B$7:$C$101,2,FALSE)</f>
        <v>100000</v>
      </c>
      <c r="J12" s="11">
        <f>VLOOKUP(B12,'SPLIT SITE'!$B$7:'SPLIT SITE'!$C$101,2,FALSE)</f>
        <v>0</v>
      </c>
      <c r="K12" s="11">
        <f>VLOOKUP(B12,RATES!$D$8:'RATES'!$E$116,2,FALSE)</f>
        <v>-496.40000000000146</v>
      </c>
      <c r="L12" s="11">
        <f>VLOOKUP(B12,PFI!$B$7:'PFI'!$C$102,2,FALSE)</f>
        <v>0</v>
      </c>
      <c r="M12" s="29">
        <f t="shared" si="0"/>
        <v>1263072.0269810278</v>
      </c>
      <c r="N12" s="11">
        <f>SUMIF('2015-16 MFG'!B:B,B12,'2015-16 MFG'!W:W)</f>
        <v>0</v>
      </c>
      <c r="O12" s="11">
        <f>SUMIF('2015-16 MFG'!B:B,B12,'2015-16 MFG'!AC:AC)</f>
        <v>0</v>
      </c>
      <c r="P12" s="29">
        <f t="shared" si="2"/>
        <v>1263072.0269810278</v>
      </c>
      <c r="Q12" s="11">
        <f ca="1">VLOOKUP(B12,'DE-DEL'!$B$7:'DE-DEL'!$N$101,13,FALSE)</f>
        <v>-32112.16</v>
      </c>
      <c r="R12" s="29">
        <f t="shared" ca="1" si="3"/>
        <v>1230959.8669810279</v>
      </c>
      <c r="S12" s="11">
        <v>11135</v>
      </c>
      <c r="T12" s="11">
        <v>0</v>
      </c>
      <c r="U12" s="11">
        <v>43797.395833333336</v>
      </c>
      <c r="V12" s="11">
        <v>0</v>
      </c>
      <c r="W12" s="11">
        <v>0</v>
      </c>
      <c r="X12" s="11">
        <v>87968.229564234789</v>
      </c>
      <c r="Y12" s="11">
        <v>0</v>
      </c>
      <c r="Z12" s="29">
        <f t="shared" ca="1" si="1"/>
        <v>1373860.492378596</v>
      </c>
      <c r="AD12" s="11" t="s">
        <v>1127</v>
      </c>
      <c r="AF12" s="11"/>
      <c r="AG12" s="11">
        <v>1023225.2768999999</v>
      </c>
      <c r="AH12" s="11">
        <v>37767.222507952712</v>
      </c>
      <c r="AI12" s="11">
        <v>1254348.4340889803</v>
      </c>
      <c r="AJ12" s="11">
        <f t="shared" si="4"/>
        <v>8723.5928920474835</v>
      </c>
      <c r="AM12" s="30">
        <v>5201</v>
      </c>
      <c r="AP12" s="11"/>
      <c r="AQ12" s="11"/>
      <c r="AR12" s="11"/>
    </row>
    <row r="13" spans="1:44" x14ac:dyDescent="0.2">
      <c r="A13" s="9" t="s">
        <v>96</v>
      </c>
      <c r="B13" s="26">
        <v>2007</v>
      </c>
      <c r="C13" s="11">
        <f>VLOOKUP(B13,AWPU!$B$7:'AWPU'!$N$78,13,FALSE)</f>
        <v>776118.59680000006</v>
      </c>
      <c r="D13" s="11">
        <f>VLOOKUP(B13,DEP!$B$6:'DEP'!$O$101,14,FALSE)</f>
        <v>311276.45382599882</v>
      </c>
      <c r="E13" s="11">
        <f>VLOOKUP(B13,LAC!$B$7:'LAC'!$D$102,3,FALSE)</f>
        <v>3116.4990666666667</v>
      </c>
      <c r="F13" s="11">
        <f>VLOOKUP(B13,LCHI!$B$7:'LCHI'!$D$102,3,FALSE)</f>
        <v>0</v>
      </c>
      <c r="G13" s="11">
        <f>VLOOKUP(B13,EAL!$B$7:'EAL'!$G$101,6,FALSE)</f>
        <v>37894.857411023702</v>
      </c>
      <c r="H13" s="11">
        <f>VLOOKUP(B13,MOB!$B$7:'MOB'!$G$101,6,FALSE)</f>
        <v>16315.647999999941</v>
      </c>
      <c r="I13" s="11">
        <f>VLOOKUP(B13,'LUMP SUM'!$B$7:$C$101,2,FALSE)</f>
        <v>100000</v>
      </c>
      <c r="J13" s="11">
        <f>VLOOKUP(B13,'SPLIT SITE'!$B$7:'SPLIT SITE'!$C$101,2,FALSE)</f>
        <v>0</v>
      </c>
      <c r="K13" s="11">
        <f>VLOOKUP(B13,RATES!$D$8:'RATES'!$E$116,2,FALSE)</f>
        <v>2514.2999999999993</v>
      </c>
      <c r="L13" s="11">
        <f>VLOOKUP(B13,PFI!$B$7:'PFI'!$C$102,2,FALSE)</f>
        <v>0</v>
      </c>
      <c r="M13" s="29">
        <f t="shared" si="0"/>
        <v>1247236.3551036895</v>
      </c>
      <c r="N13" s="11">
        <f>SUMIF('2015-16 MFG'!B:B,B13,'2015-16 MFG'!W:W)</f>
        <v>0</v>
      </c>
      <c r="O13" s="11">
        <f>SUMIF('2015-16 MFG'!B:B,B13,'2015-16 MFG'!AC:AC)</f>
        <v>0</v>
      </c>
      <c r="P13" s="29">
        <f t="shared" si="2"/>
        <v>1247236.3551036895</v>
      </c>
      <c r="Q13" s="11">
        <f>VLOOKUP(B13,'DE-DEL'!$B$7:'DE-DEL'!$N$101,13,FALSE)</f>
        <v>0</v>
      </c>
      <c r="R13" s="29">
        <f t="shared" si="3"/>
        <v>1247236.3551036895</v>
      </c>
      <c r="S13" s="11">
        <v>22485</v>
      </c>
      <c r="T13" s="11">
        <v>0</v>
      </c>
      <c r="U13" s="11">
        <v>16017.333333333334</v>
      </c>
      <c r="V13" s="11">
        <v>0</v>
      </c>
      <c r="W13" s="11">
        <v>0</v>
      </c>
      <c r="X13" s="11">
        <v>83632.019125858162</v>
      </c>
      <c r="Y13" s="11">
        <v>0</v>
      </c>
      <c r="Z13" s="29">
        <f t="shared" si="1"/>
        <v>1369370.7075628808</v>
      </c>
      <c r="AD13" s="11" t="s">
        <v>1128</v>
      </c>
      <c r="AF13" s="11"/>
      <c r="AG13" s="11">
        <v>742387.79039999994</v>
      </c>
      <c r="AH13" s="11">
        <v>0</v>
      </c>
      <c r="AI13" s="11">
        <v>1213505.5487036894</v>
      </c>
      <c r="AJ13" s="11">
        <f t="shared" si="4"/>
        <v>33730.806400000118</v>
      </c>
      <c r="AM13" s="30">
        <v>2007</v>
      </c>
      <c r="AP13" s="11"/>
      <c r="AQ13" s="11"/>
      <c r="AR13" s="11"/>
    </row>
    <row r="14" spans="1:44" x14ac:dyDescent="0.2">
      <c r="A14" s="9" t="s">
        <v>21</v>
      </c>
      <c r="B14" s="26">
        <v>2433</v>
      </c>
      <c r="C14" s="11">
        <f>VLOOKUP(B14,AWPU!$B$7:'AWPU'!$N$78,13,FALSE)</f>
        <v>439119.73240000004</v>
      </c>
      <c r="D14" s="11">
        <f>VLOOKUP(B14,DEP!$B$6:'DEP'!$O$101,14,FALSE)</f>
        <v>127101.08566324913</v>
      </c>
      <c r="E14" s="11">
        <f>VLOOKUP(B14,LAC!$B$7:'LAC'!$D$102,3,FALSE)</f>
        <v>0</v>
      </c>
      <c r="F14" s="11">
        <f>VLOOKUP(B14,LCHI!$B$7:'LCHI'!$D$102,3,FALSE)</f>
        <v>0</v>
      </c>
      <c r="G14" s="11">
        <f>VLOOKUP(B14,EAL!$B$7:'EAL'!$G$101,6,FALSE)</f>
        <v>12648.815231249999</v>
      </c>
      <c r="H14" s="11">
        <f>VLOOKUP(B14,MOB!$B$7:'MOB'!$G$101,6,FALSE)</f>
        <v>0</v>
      </c>
      <c r="I14" s="11">
        <f>VLOOKUP(B14,'LUMP SUM'!$B$7:$C$101,2,FALSE)</f>
        <v>100000</v>
      </c>
      <c r="J14" s="11">
        <f>VLOOKUP(B14,'SPLIT SITE'!$B$7:'SPLIT SITE'!$C$101,2,FALSE)</f>
        <v>0</v>
      </c>
      <c r="K14" s="11">
        <f>VLOOKUP(B14,RATES!$D$8:'RATES'!$E$116,2,FALSE)</f>
        <v>1085.7350000000006</v>
      </c>
      <c r="L14" s="11">
        <f>VLOOKUP(B14,PFI!$B$7:'PFI'!$C$102,2,FALSE)</f>
        <v>0</v>
      </c>
      <c r="M14" s="29">
        <f t="shared" si="0"/>
        <v>679955.36829449912</v>
      </c>
      <c r="N14" s="11">
        <f>SUMIF('2015-16 MFG'!B:B,B14,'2015-16 MFG'!W:W)</f>
        <v>59202.169196252129</v>
      </c>
      <c r="O14" s="11">
        <f>SUMIF('2015-16 MFG'!B:B,B14,'2015-16 MFG'!AC:AC)</f>
        <v>0</v>
      </c>
      <c r="P14" s="29">
        <f t="shared" si="2"/>
        <v>739157.53749075125</v>
      </c>
      <c r="Q14" s="11">
        <f ca="1">VLOOKUP(B14,'DE-DEL'!$B$7:'DE-DEL'!$N$101,13,FALSE)</f>
        <v>-13182.08</v>
      </c>
      <c r="R14" s="29">
        <f t="shared" ca="1" si="3"/>
        <v>725975.45749075129</v>
      </c>
      <c r="S14" s="11">
        <v>44510</v>
      </c>
      <c r="T14" s="11">
        <v>450537.13500000001</v>
      </c>
      <c r="U14" s="11">
        <v>0</v>
      </c>
      <c r="V14" s="11">
        <v>0</v>
      </c>
      <c r="W14" s="11">
        <v>0</v>
      </c>
      <c r="X14" s="11">
        <v>114244.94010129107</v>
      </c>
      <c r="Y14" s="11">
        <v>0</v>
      </c>
      <c r="Z14" s="29">
        <f t="shared" ca="1" si="1"/>
        <v>1335267.5325920423</v>
      </c>
      <c r="AD14" s="11" t="s">
        <v>1130</v>
      </c>
      <c r="AF14" s="11"/>
      <c r="AG14" s="11">
        <v>420035.19719999994</v>
      </c>
      <c r="AH14" s="11">
        <v>78286.704396252171</v>
      </c>
      <c r="AI14" s="11">
        <v>739157.53749075125</v>
      </c>
      <c r="AJ14" s="11">
        <f t="shared" si="4"/>
        <v>0</v>
      </c>
      <c r="AM14" s="30">
        <v>2433</v>
      </c>
      <c r="AP14" s="11"/>
      <c r="AQ14" s="11"/>
      <c r="AR14" s="11"/>
    </row>
    <row r="15" spans="1:44" x14ac:dyDescent="0.2">
      <c r="A15" s="9" t="s">
        <v>22</v>
      </c>
      <c r="B15" s="26">
        <v>2432</v>
      </c>
      <c r="C15" s="11">
        <f>VLOOKUP(B15,AWPU!$B$7:'AWPU'!$N$78,13,FALSE)</f>
        <v>523369.44850000006</v>
      </c>
      <c r="D15" s="11">
        <f>VLOOKUP(B15,DEP!$B$6:'DEP'!$O$101,14,FALSE)</f>
        <v>161276.20753415918</v>
      </c>
      <c r="E15" s="11">
        <f>VLOOKUP(B15,LAC!$B$7:'LAC'!$D$102,3,FALSE)</f>
        <v>1155.8725979166666</v>
      </c>
      <c r="F15" s="11">
        <f>VLOOKUP(B15,LCHI!$B$7:'LCHI'!$D$102,3,FALSE)</f>
        <v>0</v>
      </c>
      <c r="G15" s="11">
        <f>VLOOKUP(B15,EAL!$B$7:'EAL'!$G$101,6,FALSE)</f>
        <v>4331.4920740740808</v>
      </c>
      <c r="H15" s="11">
        <f>VLOOKUP(B15,MOB!$B$7:'MOB'!$G$101,6,FALSE)</f>
        <v>0</v>
      </c>
      <c r="I15" s="11">
        <f>VLOOKUP(B15,'LUMP SUM'!$B$7:$C$101,2,FALSE)</f>
        <v>100000</v>
      </c>
      <c r="J15" s="11">
        <f>VLOOKUP(B15,'SPLIT SITE'!$B$7:'SPLIT SITE'!$C$101,2,FALSE)</f>
        <v>0</v>
      </c>
      <c r="K15" s="11">
        <f>VLOOKUP(B15,RATES!$D$8:'RATES'!$E$116,2,FALSE)</f>
        <v>1085.7350000000006</v>
      </c>
      <c r="L15" s="11">
        <f>VLOOKUP(B15,PFI!$B$7:'PFI'!$C$102,2,FALSE)</f>
        <v>0</v>
      </c>
      <c r="M15" s="29">
        <f t="shared" si="0"/>
        <v>791218.75570614997</v>
      </c>
      <c r="N15" s="11">
        <f>SUMIF('2015-16 MFG'!B:B,B15,'2015-16 MFG'!W:W)</f>
        <v>26852.335601085564</v>
      </c>
      <c r="O15" s="11">
        <f>SUMIF('2015-16 MFG'!B:B,B15,'2015-16 MFG'!AC:AC)</f>
        <v>0</v>
      </c>
      <c r="P15" s="29">
        <f t="shared" si="2"/>
        <v>818071.09130723553</v>
      </c>
      <c r="Q15" s="11">
        <f ca="1">VLOOKUP(B15,'DE-DEL'!$B$7:'DE-DEL'!$N$101,13,FALSE)</f>
        <v>-15711.2</v>
      </c>
      <c r="R15" s="29">
        <f t="shared" ca="1" si="3"/>
        <v>802359.89130723558</v>
      </c>
      <c r="S15" s="11">
        <v>0</v>
      </c>
      <c r="T15" s="11">
        <v>696669.62</v>
      </c>
      <c r="U15" s="11">
        <v>13014.083333333334</v>
      </c>
      <c r="V15" s="11">
        <v>0</v>
      </c>
      <c r="W15" s="11">
        <v>0</v>
      </c>
      <c r="X15" s="11">
        <v>0</v>
      </c>
      <c r="Y15" s="11">
        <v>0</v>
      </c>
      <c r="Z15" s="29">
        <f t="shared" ca="1" si="1"/>
        <v>1512043.5946405688</v>
      </c>
      <c r="AD15" s="11" t="s">
        <v>1131</v>
      </c>
      <c r="AF15" s="11"/>
      <c r="AG15" s="11">
        <v>500623.34549999994</v>
      </c>
      <c r="AH15" s="11">
        <v>49598.438601085683</v>
      </c>
      <c r="AI15" s="11">
        <v>818071.09130723553</v>
      </c>
      <c r="AJ15" s="11">
        <f t="shared" si="4"/>
        <v>0</v>
      </c>
      <c r="AM15" s="30">
        <v>2432</v>
      </c>
      <c r="AP15" s="11"/>
      <c r="AQ15" s="11"/>
      <c r="AR15" s="11"/>
    </row>
    <row r="16" spans="1:44" s="11" customFormat="1" x14ac:dyDescent="0.2">
      <c r="A16" s="9" t="s">
        <v>199</v>
      </c>
      <c r="B16" s="26">
        <v>2447</v>
      </c>
      <c r="C16" s="11">
        <f>VLOOKUP(B16,AWPU!$B$7:'AWPU'!$N$78,13,FALSE)</f>
        <v>1069716.0923000001</v>
      </c>
      <c r="D16" s="11">
        <f>VLOOKUP(B16,DEP!$B$6:'DEP'!$O$101,14,FALSE)</f>
        <v>303827.40223404201</v>
      </c>
      <c r="E16" s="11">
        <f>VLOOKUP(B16,LAC!$B$7:'LAC'!$D$102,3,FALSE)</f>
        <v>2508.8398110619464</v>
      </c>
      <c r="F16" s="11">
        <f>VLOOKUP(B16,LCHI!$B$7:'LCHI'!$D$102,3,FALSE)</f>
        <v>0</v>
      </c>
      <c r="G16" s="11">
        <f>VLOOKUP(B16,EAL!$B$7:'EAL'!$G$101,6,FALSE)</f>
        <v>13394.201174137945</v>
      </c>
      <c r="H16" s="11">
        <f>VLOOKUP(B16,MOB!$B$7:'MOB'!$G$101,6,FALSE)</f>
        <v>0</v>
      </c>
      <c r="I16" s="11">
        <f>VLOOKUP(B16,'LUMP SUM'!$B$7:$C$101,2,FALSE)</f>
        <v>100000</v>
      </c>
      <c r="J16" s="11">
        <f>VLOOKUP(B16,'SPLIT SITE'!$B$7:'SPLIT SITE'!$C$101,2,FALSE)</f>
        <v>0</v>
      </c>
      <c r="K16" s="11">
        <f>VLOOKUP(B16,RATES!$D$8:'RATES'!$E$116,2,FALSE)</f>
        <v>6946.92</v>
      </c>
      <c r="L16" s="11">
        <f>VLOOKUP(B16,PFI!$B$7:'PFI'!$C$102,2,FALSE)</f>
        <v>0</v>
      </c>
      <c r="M16" s="29">
        <f t="shared" si="0"/>
        <v>1496393.455519242</v>
      </c>
      <c r="N16" s="11">
        <f>SUMIF('2015-16 MFG'!B:B,B16,'2015-16 MFG'!W:W)</f>
        <v>65315.506346078822</v>
      </c>
      <c r="O16" s="11">
        <f>SUMIF('2015-16 MFG'!B:B,B16,'2015-16 MFG'!AC:AC)</f>
        <v>0</v>
      </c>
      <c r="P16" s="29">
        <f t="shared" si="2"/>
        <v>1561708.9618653208</v>
      </c>
      <c r="Q16" s="11">
        <f ca="1">VLOOKUP(B16,'DE-DEL'!$B$7:'DE-DEL'!$N$101,13,FALSE)</f>
        <v>-32112.16</v>
      </c>
      <c r="R16" s="29">
        <f t="shared" ca="1" si="3"/>
        <v>1529596.8018653209</v>
      </c>
      <c r="S16" s="11">
        <v>36565</v>
      </c>
      <c r="T16" s="11">
        <v>0</v>
      </c>
      <c r="U16" s="11">
        <v>9260.0208333333321</v>
      </c>
      <c r="V16" s="11">
        <v>0</v>
      </c>
      <c r="W16" s="11">
        <v>0</v>
      </c>
      <c r="X16" s="11">
        <v>131172.38378886998</v>
      </c>
      <c r="Y16" s="11">
        <v>0</v>
      </c>
      <c r="Z16" s="29">
        <f t="shared" ca="1" si="1"/>
        <v>1706594.2064875241</v>
      </c>
      <c r="AD16" s="11" t="s">
        <v>1132</v>
      </c>
      <c r="AG16" s="11">
        <v>1023225.2768999999</v>
      </c>
      <c r="AH16" s="11">
        <v>111806.32174607902</v>
      </c>
      <c r="AI16" s="11">
        <v>1561708.9618653208</v>
      </c>
      <c r="AJ16" s="11">
        <f t="shared" si="4"/>
        <v>0</v>
      </c>
      <c r="AM16" s="30">
        <v>2447</v>
      </c>
    </row>
    <row r="17" spans="1:43" s="11" customFormat="1" x14ac:dyDescent="0.2">
      <c r="A17" s="9" t="s">
        <v>23</v>
      </c>
      <c r="B17" s="26">
        <v>2512</v>
      </c>
      <c r="C17" s="11">
        <f>VLOOKUP(B17,AWPU!$B$7:'AWPU'!$N$78,13,FALSE)</f>
        <v>525922.4702000001</v>
      </c>
      <c r="D17" s="11">
        <f>VLOOKUP(B17,DEP!$B$6:'DEP'!$O$101,14,FALSE)</f>
        <v>41877.016109110831</v>
      </c>
      <c r="E17" s="11">
        <f>VLOOKUP(B17,LAC!$B$7:'LAC'!$D$102,3,FALSE)</f>
        <v>0</v>
      </c>
      <c r="F17" s="11">
        <f>VLOOKUP(B17,LCHI!$B$7:'LCHI'!$D$102,3,FALSE)</f>
        <v>0</v>
      </c>
      <c r="G17" s="11">
        <f>VLOOKUP(B17,EAL!$B$7:'EAL'!$G$101,6,FALSE)</f>
        <v>21033.547834090939</v>
      </c>
      <c r="H17" s="11">
        <f>VLOOKUP(B17,MOB!$B$7:'MOB'!$G$101,6,FALSE)</f>
        <v>0</v>
      </c>
      <c r="I17" s="11">
        <f>VLOOKUP(B17,'LUMP SUM'!$B$7:$C$101,2,FALSE)</f>
        <v>100000</v>
      </c>
      <c r="J17" s="11">
        <f>VLOOKUP(B17,'SPLIT SITE'!$B$7:'SPLIT SITE'!$C$101,2,FALSE)</f>
        <v>0</v>
      </c>
      <c r="K17" s="11">
        <f>VLOOKUP(B17,RATES!$D$8:'RATES'!$E$116,2,FALSE)</f>
        <v>12531.54</v>
      </c>
      <c r="L17" s="11">
        <f>VLOOKUP(B17,PFI!$B$7:'PFI'!$C$102,2,FALSE)</f>
        <v>0</v>
      </c>
      <c r="M17" s="29">
        <f t="shared" si="0"/>
        <v>701364.57414320181</v>
      </c>
      <c r="N17" s="11">
        <f>SUMIF('2015-16 MFG'!B:B,B17,'2015-16 MFG'!W:W)</f>
        <v>0</v>
      </c>
      <c r="O17" s="11">
        <f>SUMIF('2015-16 MFG'!B:B,B17,'2015-16 MFG'!AC:AC)</f>
        <v>0</v>
      </c>
      <c r="P17" s="29">
        <f t="shared" si="2"/>
        <v>701364.57414320181</v>
      </c>
      <c r="Q17" s="11">
        <f ca="1">VLOOKUP(B17,'DE-DEL'!$B$7:'DE-DEL'!$N$101,13,FALSE)</f>
        <v>-15787.84</v>
      </c>
      <c r="R17" s="29">
        <f t="shared" ca="1" si="3"/>
        <v>685576.73414320184</v>
      </c>
      <c r="S17" s="11">
        <v>5000</v>
      </c>
      <c r="T17" s="11">
        <v>0</v>
      </c>
      <c r="U17" s="11">
        <v>28530.875</v>
      </c>
      <c r="V17" s="11">
        <v>0</v>
      </c>
      <c r="W17" s="11">
        <v>0</v>
      </c>
      <c r="X17" s="11">
        <v>51398.891506280946</v>
      </c>
      <c r="Y17" s="11">
        <v>0</v>
      </c>
      <c r="Z17" s="29">
        <f t="shared" ca="1" si="1"/>
        <v>770506.50064948283</v>
      </c>
      <c r="AD17" s="11" t="s">
        <v>1133</v>
      </c>
      <c r="AG17" s="11">
        <v>503065.41059999994</v>
      </c>
      <c r="AH17" s="11">
        <v>12415.705051581957</v>
      </c>
      <c r="AI17" s="11">
        <v>690923.21959478362</v>
      </c>
      <c r="AJ17" s="11">
        <f t="shared" si="4"/>
        <v>10441.354548418196</v>
      </c>
      <c r="AM17" s="30">
        <v>2512</v>
      </c>
    </row>
    <row r="18" spans="1:43" s="11" customFormat="1" x14ac:dyDescent="0.2">
      <c r="A18" s="9" t="s">
        <v>24</v>
      </c>
      <c r="B18" s="26">
        <v>2456</v>
      </c>
      <c r="C18" s="11">
        <f>VLOOKUP(B18,AWPU!$B$7:'AWPU'!$N$78,13,FALSE)</f>
        <v>456990.88430000003</v>
      </c>
      <c r="D18" s="11">
        <f>VLOOKUP(B18,DEP!$B$6:'DEP'!$O$101,14,FALSE)</f>
        <v>22668.211106748582</v>
      </c>
      <c r="E18" s="11">
        <f>VLOOKUP(B18,LAC!$B$7:'LAC'!$D$102,3,FALSE)</f>
        <v>0</v>
      </c>
      <c r="F18" s="11">
        <f>VLOOKUP(B18,LCHI!$B$7:'LCHI'!$D$102,3,FALSE)</f>
        <v>0</v>
      </c>
      <c r="G18" s="11">
        <f>VLOOKUP(B18,EAL!$B$7:'EAL'!$G$101,6,FALSE)</f>
        <v>31911.739624999947</v>
      </c>
      <c r="H18" s="11">
        <f>VLOOKUP(B18,MOB!$B$7:'MOB'!$G$101,6,FALSE)</f>
        <v>0</v>
      </c>
      <c r="I18" s="11">
        <f>VLOOKUP(B18,'LUMP SUM'!$B$7:$C$101,2,FALSE)</f>
        <v>100000</v>
      </c>
      <c r="J18" s="11">
        <f>VLOOKUP(B18,'SPLIT SITE'!$B$7:'SPLIT SITE'!$C$101,2,FALSE)</f>
        <v>0</v>
      </c>
      <c r="K18" s="11">
        <f>VLOOKUP(B18,RATES!$D$8:'RATES'!$E$116,2,FALSE)</f>
        <v>4975.5</v>
      </c>
      <c r="L18" s="11">
        <f>VLOOKUP(B18,PFI!$B$7:'PFI'!$C$102,2,FALSE)</f>
        <v>0</v>
      </c>
      <c r="M18" s="29">
        <f t="shared" si="0"/>
        <v>616546.33503174852</v>
      </c>
      <c r="N18" s="11">
        <f>SUMIF('2015-16 MFG'!B:B,B18,'2015-16 MFG'!W:W)</f>
        <v>0</v>
      </c>
      <c r="O18" s="11">
        <f>SUMIF('2015-16 MFG'!B:B,B18,'2015-16 MFG'!AC:AC)</f>
        <v>0</v>
      </c>
      <c r="P18" s="29">
        <f t="shared" si="2"/>
        <v>616546.33503174852</v>
      </c>
      <c r="Q18" s="11">
        <f ca="1">VLOOKUP(B18,'DE-DEL'!$B$7:'DE-DEL'!$N$101,13,FALSE)</f>
        <v>-13718.56</v>
      </c>
      <c r="R18" s="29">
        <f t="shared" ca="1" si="3"/>
        <v>602827.77503174846</v>
      </c>
      <c r="S18" s="11">
        <v>11135</v>
      </c>
      <c r="T18" s="11">
        <v>0</v>
      </c>
      <c r="U18" s="11">
        <v>2502.7083333333335</v>
      </c>
      <c r="V18" s="11">
        <v>0</v>
      </c>
      <c r="W18" s="11">
        <v>0</v>
      </c>
      <c r="X18" s="11">
        <v>88989.881361080552</v>
      </c>
      <c r="Y18" s="11">
        <v>0</v>
      </c>
      <c r="Z18" s="29">
        <f t="shared" ca="1" si="1"/>
        <v>705455.3647261624</v>
      </c>
      <c r="AD18" s="11" t="s">
        <v>1134</v>
      </c>
      <c r="AG18" s="11">
        <v>437129.65289999999</v>
      </c>
      <c r="AH18" s="11">
        <v>0</v>
      </c>
      <c r="AI18" s="11">
        <v>596685.10363174847</v>
      </c>
      <c r="AJ18" s="11">
        <f t="shared" si="4"/>
        <v>19861.231400000048</v>
      </c>
      <c r="AM18" s="30">
        <v>2456</v>
      </c>
    </row>
    <row r="19" spans="1:43" s="11" customFormat="1" x14ac:dyDescent="0.2">
      <c r="A19" s="9" t="s">
        <v>25</v>
      </c>
      <c r="B19" s="26">
        <v>2449</v>
      </c>
      <c r="C19" s="11">
        <f>VLOOKUP(B19,AWPU!$B$7:'AWPU'!$N$78,13,FALSE)</f>
        <v>689315.85900000005</v>
      </c>
      <c r="D19" s="11">
        <f>VLOOKUP(B19,DEP!$B$6:'DEP'!$O$101,14,FALSE)</f>
        <v>111576.51203750633</v>
      </c>
      <c r="E19" s="11">
        <f>VLOOKUP(B19,LAC!$B$7:'LAC'!$D$102,3,FALSE)</f>
        <v>0</v>
      </c>
      <c r="F19" s="11">
        <f>VLOOKUP(B19,LCHI!$B$7:'LCHI'!$D$102,3,FALSE)</f>
        <v>0</v>
      </c>
      <c r="G19" s="11">
        <f>VLOOKUP(B19,EAL!$B$7:'EAL'!$G$101,6,FALSE)</f>
        <v>7701.6041999999925</v>
      </c>
      <c r="H19" s="11">
        <f>VLOOKUP(B19,MOB!$B$7:'MOB'!$G$101,6,FALSE)</f>
        <v>0</v>
      </c>
      <c r="I19" s="11">
        <f>VLOOKUP(B19,'LUMP SUM'!$B$7:$C$101,2,FALSE)</f>
        <v>100000</v>
      </c>
      <c r="J19" s="11">
        <f>VLOOKUP(B19,'SPLIT SITE'!$B$7:'SPLIT SITE'!$C$101,2,FALSE)</f>
        <v>0</v>
      </c>
      <c r="K19" s="11">
        <f>VLOOKUP(B19,RATES!$D$8:'RATES'!$E$116,2,FALSE)</f>
        <v>-3729.0200000000004</v>
      </c>
      <c r="L19" s="11">
        <f>VLOOKUP(B19,PFI!$B$7:'PFI'!$C$102,2,FALSE)</f>
        <v>0</v>
      </c>
      <c r="M19" s="29">
        <f t="shared" si="0"/>
        <v>904864.95523750631</v>
      </c>
      <c r="N19" s="11">
        <f>SUMIF('2015-16 MFG'!B:B,B19,'2015-16 MFG'!W:W)</f>
        <v>0</v>
      </c>
      <c r="O19" s="11">
        <f>SUMIF('2015-16 MFG'!B:B,B19,'2015-16 MFG'!AC:AC)</f>
        <v>0</v>
      </c>
      <c r="P19" s="29">
        <f t="shared" si="2"/>
        <v>904864.95523750631</v>
      </c>
      <c r="Q19" s="11">
        <f ca="1">VLOOKUP(B19,'DE-DEL'!$B$7:'DE-DEL'!$N$101,13,FALSE)</f>
        <v>-20692.8</v>
      </c>
      <c r="R19" s="29">
        <f t="shared" ca="1" si="3"/>
        <v>884172.15523750626</v>
      </c>
      <c r="S19" s="11">
        <v>15000</v>
      </c>
      <c r="T19" s="11">
        <v>0</v>
      </c>
      <c r="U19" s="11">
        <v>19145.71875</v>
      </c>
      <c r="V19" s="11">
        <v>0</v>
      </c>
      <c r="W19" s="11">
        <v>0</v>
      </c>
      <c r="X19" s="11">
        <v>151786.11030038079</v>
      </c>
      <c r="Y19" s="11">
        <v>0</v>
      </c>
      <c r="Z19" s="29">
        <f t="shared" ca="1" si="1"/>
        <v>1070103.9842878871</v>
      </c>
      <c r="AD19" s="11" t="s">
        <v>1135</v>
      </c>
      <c r="AG19" s="11">
        <v>659357.57699999993</v>
      </c>
      <c r="AH19" s="11">
        <v>18861.480256371899</v>
      </c>
      <c r="AI19" s="11">
        <v>893768.15349387808</v>
      </c>
      <c r="AJ19" s="11">
        <f t="shared" si="4"/>
        <v>11096.801743628224</v>
      </c>
      <c r="AM19" s="30">
        <v>2449</v>
      </c>
    </row>
    <row r="20" spans="1:43" s="11" customFormat="1" x14ac:dyDescent="0.2">
      <c r="A20" s="9" t="s">
        <v>26</v>
      </c>
      <c r="B20" s="26">
        <v>2448</v>
      </c>
      <c r="C20" s="11">
        <f>VLOOKUP(B20,AWPU!$B$7:'AWPU'!$N$78,13,FALSE)</f>
        <v>852709.24780000013</v>
      </c>
      <c r="D20" s="11">
        <f>VLOOKUP(B20,DEP!$B$6:'DEP'!$O$101,14,FALSE)</f>
        <v>181067.27535214834</v>
      </c>
      <c r="E20" s="11">
        <f>VLOOKUP(B20,LAC!$B$7:'LAC'!$D$102,3,FALSE)</f>
        <v>0</v>
      </c>
      <c r="F20" s="11">
        <f>VLOOKUP(B20,LCHI!$B$7:'LCHI'!$D$102,3,FALSE)</f>
        <v>0</v>
      </c>
      <c r="G20" s="11">
        <f>VLOOKUP(B20,EAL!$B$7:'EAL'!$G$101,6,FALSE)</f>
        <v>2590.4690864048339</v>
      </c>
      <c r="H20" s="11">
        <f>VLOOKUP(B20,MOB!$B$7:'MOB'!$G$101,6,FALSE)</f>
        <v>0</v>
      </c>
      <c r="I20" s="11">
        <f>VLOOKUP(B20,'LUMP SUM'!$B$7:$C$101,2,FALSE)</f>
        <v>100000</v>
      </c>
      <c r="J20" s="11">
        <f>VLOOKUP(B20,'SPLIT SITE'!$B$7:'SPLIT SITE'!$C$101,2,FALSE)</f>
        <v>0</v>
      </c>
      <c r="K20" s="11">
        <f>VLOOKUP(B20,RATES!$D$8:'RATES'!$E$116,2,FALSE)</f>
        <v>-3805.6899999999987</v>
      </c>
      <c r="L20" s="11">
        <f>VLOOKUP(B20,PFI!$B$7:'PFI'!$C$102,2,FALSE)</f>
        <v>0</v>
      </c>
      <c r="M20" s="29">
        <f t="shared" si="0"/>
        <v>1132561.3022385533</v>
      </c>
      <c r="N20" s="11">
        <f>SUMIF('2015-16 MFG'!B:B,B20,'2015-16 MFG'!W:W)</f>
        <v>0</v>
      </c>
      <c r="O20" s="11">
        <f>SUMIF('2015-16 MFG'!B:B,B20,'2015-16 MFG'!AC:AC)</f>
        <v>0</v>
      </c>
      <c r="P20" s="29">
        <f t="shared" si="2"/>
        <v>1132561.3022385533</v>
      </c>
      <c r="Q20" s="11">
        <f ca="1">VLOOKUP(B20,'DE-DEL'!$B$7:'DE-DEL'!$N$101,13,FALSE)</f>
        <v>-25597.759999999998</v>
      </c>
      <c r="R20" s="29">
        <f t="shared" ca="1" si="3"/>
        <v>1106963.5422385533</v>
      </c>
      <c r="S20" s="11">
        <v>0</v>
      </c>
      <c r="T20" s="11">
        <v>0</v>
      </c>
      <c r="U20" s="11">
        <v>27029.25</v>
      </c>
      <c r="V20" s="11">
        <v>0</v>
      </c>
      <c r="W20" s="11">
        <v>0</v>
      </c>
      <c r="X20" s="11">
        <v>0</v>
      </c>
      <c r="Y20" s="11">
        <v>0</v>
      </c>
      <c r="Z20" s="29">
        <f t="shared" ca="1" si="1"/>
        <v>1133992.7922385533</v>
      </c>
      <c r="AD20" s="11" t="s">
        <v>1136</v>
      </c>
      <c r="AG20" s="11">
        <v>815649.74339999992</v>
      </c>
      <c r="AH20" s="11">
        <v>0</v>
      </c>
      <c r="AI20" s="11">
        <v>1095501.7978385533</v>
      </c>
      <c r="AJ20" s="11">
        <f t="shared" si="4"/>
        <v>37059.504399999976</v>
      </c>
      <c r="AM20" s="30">
        <v>2448</v>
      </c>
    </row>
    <row r="21" spans="1:43" s="11" customFormat="1" x14ac:dyDescent="0.2">
      <c r="A21" s="9" t="s">
        <v>126</v>
      </c>
      <c r="B21" s="26">
        <v>2467</v>
      </c>
      <c r="C21" s="11">
        <f>VLOOKUP(B21,AWPU!$B$7:'AWPU'!$N$78,13,FALSE)</f>
        <v>891004.57330000005</v>
      </c>
      <c r="D21" s="11">
        <f>VLOOKUP(B21,DEP!$B$6:'DEP'!$O$101,14,FALSE)</f>
        <v>168762.83605330973</v>
      </c>
      <c r="E21" s="11">
        <f>VLOOKUP(B21,LAC!$B$7:'LAC'!$D$102,3,FALSE)</f>
        <v>0</v>
      </c>
      <c r="F21" s="11">
        <f>VLOOKUP(B21,LCHI!$B$7:'LCHI'!$D$102,3,FALSE)</f>
        <v>0</v>
      </c>
      <c r="G21" s="11">
        <f>VLOOKUP(B21,EAL!$B$7:'EAL'!$G$101,6,FALSE)</f>
        <v>5799.0504116504735</v>
      </c>
      <c r="H21" s="11">
        <f>VLOOKUP(B21,MOB!$B$7:'MOB'!$G$101,6,FALSE)</f>
        <v>0</v>
      </c>
      <c r="I21" s="11">
        <f>VLOOKUP(B21,'LUMP SUM'!$B$7:$C$101,2,FALSE)</f>
        <v>100000</v>
      </c>
      <c r="J21" s="11">
        <f>VLOOKUP(B21,'SPLIT SITE'!$B$7:'SPLIT SITE'!$C$101,2,FALSE)</f>
        <v>0</v>
      </c>
      <c r="K21" s="11">
        <f>VLOOKUP(B21,RATES!$D$8:'RATES'!$E$116,2,FALSE)</f>
        <v>434.30000000000109</v>
      </c>
      <c r="L21" s="11">
        <f>VLOOKUP(B21,PFI!$B$7:'PFI'!$C$102,2,FALSE)</f>
        <v>0</v>
      </c>
      <c r="M21" s="29">
        <f t="shared" si="0"/>
        <v>1166000.7597649603</v>
      </c>
      <c r="N21" s="11">
        <f>SUMIF('2015-16 MFG'!B:B,B21,'2015-16 MFG'!W:W)</f>
        <v>61765.834184337873</v>
      </c>
      <c r="O21" s="11">
        <f>SUMIF('2015-16 MFG'!B:B,B21,'2015-16 MFG'!AC:AC)</f>
        <v>0</v>
      </c>
      <c r="P21" s="29">
        <f t="shared" si="2"/>
        <v>1227766.5939492981</v>
      </c>
      <c r="Q21" s="11">
        <f ca="1">VLOOKUP(B21,'DE-DEL'!$B$7:'DE-DEL'!$N$101,13,FALSE)</f>
        <v>-26747.360000000001</v>
      </c>
      <c r="R21" s="29">
        <f t="shared" ca="1" si="3"/>
        <v>1201019.233949298</v>
      </c>
      <c r="S21" s="11">
        <v>32700</v>
      </c>
      <c r="T21" s="11">
        <v>0</v>
      </c>
      <c r="U21" s="11">
        <v>0</v>
      </c>
      <c r="V21" s="11">
        <v>0</v>
      </c>
      <c r="W21" s="11">
        <v>0</v>
      </c>
      <c r="X21" s="11">
        <v>92296.826020809182</v>
      </c>
      <c r="Y21" s="11">
        <v>0</v>
      </c>
      <c r="Z21" s="29">
        <f t="shared" ca="1" si="1"/>
        <v>1326016.0599701072</v>
      </c>
      <c r="AD21" s="11" t="s">
        <v>1137</v>
      </c>
      <c r="AG21" s="11">
        <v>852280.71989999991</v>
      </c>
      <c r="AH21" s="11">
        <v>100489.68758433801</v>
      </c>
      <c r="AI21" s="11">
        <v>1227766.5939492981</v>
      </c>
      <c r="AJ21" s="11">
        <f t="shared" si="4"/>
        <v>0</v>
      </c>
      <c r="AM21" s="30">
        <v>2467</v>
      </c>
    </row>
    <row r="22" spans="1:43" s="11" customFormat="1" x14ac:dyDescent="0.2">
      <c r="A22" s="9" t="s">
        <v>28</v>
      </c>
      <c r="B22" s="26">
        <v>2455</v>
      </c>
      <c r="C22" s="11">
        <f>VLOOKUP(B22,AWPU!$B$7:'AWPU'!$N$78,13,FALSE)</f>
        <v>896110.61670000013</v>
      </c>
      <c r="D22" s="11">
        <f>VLOOKUP(B22,DEP!$B$6:'DEP'!$O$101,14,FALSE)</f>
        <v>74577.835326767105</v>
      </c>
      <c r="E22" s="11">
        <f>VLOOKUP(B22,LAC!$B$7:'LAC'!$D$102,3,FALSE)</f>
        <v>1326.7571555865923</v>
      </c>
      <c r="F22" s="11">
        <f>VLOOKUP(B22,LCHI!$B$7:'LCHI'!$D$102,3,FALSE)</f>
        <v>0</v>
      </c>
      <c r="G22" s="11">
        <f>VLOOKUP(B22,EAL!$B$7:'EAL'!$G$101,6,FALSE)</f>
        <v>14119.607699999997</v>
      </c>
      <c r="H22" s="11">
        <f>VLOOKUP(B22,MOB!$B$7:'MOB'!$G$101,6,FALSE)</f>
        <v>0</v>
      </c>
      <c r="I22" s="11">
        <f>VLOOKUP(B22,'LUMP SUM'!$B$7:$C$101,2,FALSE)</f>
        <v>100000</v>
      </c>
      <c r="J22" s="11">
        <f>VLOOKUP(B22,'SPLIT SITE'!$B$7:'SPLIT SITE'!$C$101,2,FALSE)</f>
        <v>0</v>
      </c>
      <c r="K22" s="11">
        <f>VLOOKUP(B22,RATES!$D$8:'RATES'!$E$116,2,FALSE)</f>
        <v>19769.71</v>
      </c>
      <c r="L22" s="11">
        <f>VLOOKUP(B22,PFI!$B$7:'PFI'!$C$102,2,FALSE)</f>
        <v>0</v>
      </c>
      <c r="M22" s="29">
        <f t="shared" si="0"/>
        <v>1105904.5268823537</v>
      </c>
      <c r="N22" s="11">
        <f>SUMIF('2015-16 MFG'!B:B,B22,'2015-16 MFG'!W:W)</f>
        <v>0</v>
      </c>
      <c r="O22" s="11">
        <f>SUMIF('2015-16 MFG'!B:B,B22,'2015-16 MFG'!AC:AC)</f>
        <v>0</v>
      </c>
      <c r="P22" s="29">
        <f t="shared" si="2"/>
        <v>1105904.5268823537</v>
      </c>
      <c r="Q22" s="11">
        <f ca="1">VLOOKUP(B22,'DE-DEL'!$B$7:'DE-DEL'!$N$101,13,FALSE)</f>
        <v>-26900.639999999999</v>
      </c>
      <c r="R22" s="29">
        <f t="shared" ca="1" si="3"/>
        <v>1079003.8868823538</v>
      </c>
      <c r="S22" s="11">
        <v>23405</v>
      </c>
      <c r="T22" s="11">
        <v>0</v>
      </c>
      <c r="U22" s="11">
        <v>1251.3541666666667</v>
      </c>
      <c r="V22" s="11">
        <v>0</v>
      </c>
      <c r="W22" s="11">
        <v>0</v>
      </c>
      <c r="X22" s="11">
        <v>0</v>
      </c>
      <c r="Y22" s="11">
        <v>0</v>
      </c>
      <c r="Z22" s="29">
        <f t="shared" ca="1" si="1"/>
        <v>1103660.2410490206</v>
      </c>
      <c r="AD22" s="11" t="s">
        <v>1138</v>
      </c>
      <c r="AG22" s="11">
        <v>857164.85009999992</v>
      </c>
      <c r="AH22" s="11">
        <v>18098.377820297377</v>
      </c>
      <c r="AI22" s="11">
        <v>1085057.1381026511</v>
      </c>
      <c r="AJ22" s="11">
        <f t="shared" si="4"/>
        <v>20847.388779702596</v>
      </c>
      <c r="AM22" s="30">
        <v>2455</v>
      </c>
    </row>
    <row r="23" spans="1:43" s="11" customFormat="1" x14ac:dyDescent="0.2">
      <c r="A23" s="9" t="s">
        <v>29</v>
      </c>
      <c r="B23" s="26">
        <v>5203</v>
      </c>
      <c r="C23" s="11">
        <f>VLOOKUP(B23,AWPU!$B$7:'AWPU'!$N$78,13,FALSE)</f>
        <v>1238215.5245000001</v>
      </c>
      <c r="D23" s="11">
        <f>VLOOKUP(B23,DEP!$B$6:'DEP'!$O$101,14,FALSE)</f>
        <v>130520.16364530743</v>
      </c>
      <c r="E23" s="11">
        <f>VLOOKUP(B23,LAC!$B$7:'LAC'!$D$102,3,FALSE)</f>
        <v>2728.9401226611226</v>
      </c>
      <c r="F23" s="11">
        <f>VLOOKUP(B23,LCHI!$B$7:'LCHI'!$D$102,3,FALSE)</f>
        <v>0</v>
      </c>
      <c r="G23" s="11">
        <f>VLOOKUP(B23,EAL!$B$7:'EAL'!$G$101,6,FALSE)</f>
        <v>9452.0493229813637</v>
      </c>
      <c r="H23" s="11">
        <f>VLOOKUP(B23,MOB!$B$7:'MOB'!$G$101,6,FALSE)</f>
        <v>0</v>
      </c>
      <c r="I23" s="11">
        <f>VLOOKUP(B23,'LUMP SUM'!$B$7:$C$101,2,FALSE)</f>
        <v>100000</v>
      </c>
      <c r="J23" s="11">
        <f>VLOOKUP(B23,'SPLIT SITE'!$B$7:'SPLIT SITE'!$C$101,2,FALSE)</f>
        <v>0</v>
      </c>
      <c r="K23" s="11">
        <f>VLOOKUP(B23,RATES!$D$8:'RATES'!$E$116,2,FALSE)</f>
        <v>4706.051999999996</v>
      </c>
      <c r="L23" s="11">
        <f>VLOOKUP(B23,PFI!$B$7:'PFI'!$C$102,2,FALSE)</f>
        <v>0</v>
      </c>
      <c r="M23" s="29">
        <f t="shared" si="0"/>
        <v>1485622.7295909501</v>
      </c>
      <c r="N23" s="11">
        <f>SUMIF('2015-16 MFG'!B:B,B23,'2015-16 MFG'!W:W)</f>
        <v>0</v>
      </c>
      <c r="O23" s="11">
        <f>SUMIF('2015-16 MFG'!B:B,B23,'2015-16 MFG'!AC:AC)</f>
        <v>0</v>
      </c>
      <c r="P23" s="29">
        <f t="shared" si="2"/>
        <v>1485622.7295909501</v>
      </c>
      <c r="Q23" s="11">
        <f ca="1">VLOOKUP(B23,'DE-DEL'!$B$7:'DE-DEL'!$N$101,13,FALSE)</f>
        <v>-37170.400000000001</v>
      </c>
      <c r="R23" s="29">
        <f t="shared" ca="1" si="3"/>
        <v>1448452.3295909502</v>
      </c>
      <c r="S23" s="11">
        <v>0</v>
      </c>
      <c r="T23" s="11">
        <v>0</v>
      </c>
      <c r="U23" s="11">
        <v>24276.270833333336</v>
      </c>
      <c r="V23" s="11">
        <v>0</v>
      </c>
      <c r="W23" s="11">
        <v>0</v>
      </c>
      <c r="X23" s="11">
        <v>0</v>
      </c>
      <c r="Y23" s="11">
        <v>0</v>
      </c>
      <c r="Z23" s="29">
        <f t="shared" ca="1" si="1"/>
        <v>1472728.6004242834</v>
      </c>
      <c r="AD23" s="11" t="s">
        <v>1139</v>
      </c>
      <c r="AG23" s="11">
        <v>1184401.5734999999</v>
      </c>
      <c r="AH23" s="11">
        <v>20589.689186582109</v>
      </c>
      <c r="AI23" s="11">
        <v>1452398.4677775321</v>
      </c>
      <c r="AJ23" s="11">
        <f t="shared" si="4"/>
        <v>33224.261813418008</v>
      </c>
      <c r="AM23" s="30">
        <v>5203</v>
      </c>
    </row>
    <row r="24" spans="1:43" s="11" customFormat="1" x14ac:dyDescent="0.2">
      <c r="A24" s="9" t="s">
        <v>30</v>
      </c>
      <c r="B24" s="26">
        <v>2451</v>
      </c>
      <c r="C24" s="11">
        <f>VLOOKUP(B24,AWPU!$B$7:'AWPU'!$N$78,13,FALSE)</f>
        <v>1205026.2424000001</v>
      </c>
      <c r="D24" s="11">
        <f>VLOOKUP(B24,DEP!$B$6:'DEP'!$O$101,14,FALSE)</f>
        <v>155958.95554850169</v>
      </c>
      <c r="E24" s="11">
        <f>VLOOKUP(B24,LAC!$B$7:'LAC'!$D$102,3,FALSE)</f>
        <v>1361.8726703624734</v>
      </c>
      <c r="F24" s="11">
        <f>VLOOKUP(B24,LCHI!$B$7:'LCHI'!$D$102,3,FALSE)</f>
        <v>0</v>
      </c>
      <c r="G24" s="11">
        <f>VLOOKUP(B24,EAL!$B$7:'EAL'!$G$101,6,FALSE)</f>
        <v>6119.7932363636555</v>
      </c>
      <c r="H24" s="11">
        <f>VLOOKUP(B24,MOB!$B$7:'MOB'!$G$101,6,FALSE)</f>
        <v>0</v>
      </c>
      <c r="I24" s="11">
        <f>VLOOKUP(B24,'LUMP SUM'!$B$7:$C$101,2,FALSE)</f>
        <v>100000</v>
      </c>
      <c r="J24" s="11">
        <f>VLOOKUP(B24,'SPLIT SITE'!$B$7:'SPLIT SITE'!$C$101,2,FALSE)</f>
        <v>0</v>
      </c>
      <c r="K24" s="11">
        <f>VLOOKUP(B24,RATES!$D$8:'RATES'!$E$116,2,FALSE)</f>
        <v>16102.75</v>
      </c>
      <c r="L24" s="11">
        <f>VLOOKUP(B24,PFI!$B$7:'PFI'!$C$102,2,FALSE)</f>
        <v>0</v>
      </c>
      <c r="M24" s="29">
        <f t="shared" si="0"/>
        <v>1484569.6138552281</v>
      </c>
      <c r="N24" s="11">
        <f>SUMIF('2015-16 MFG'!B:B,B24,'2015-16 MFG'!W:W)</f>
        <v>0</v>
      </c>
      <c r="O24" s="11">
        <f>SUMIF('2015-16 MFG'!B:B,B24,'2015-16 MFG'!AC:AC)</f>
        <v>0</v>
      </c>
      <c r="P24" s="29">
        <f t="shared" si="2"/>
        <v>1484569.6138552281</v>
      </c>
      <c r="Q24" s="11">
        <f ca="1">VLOOKUP(B24,'DE-DEL'!$B$7:'DE-DEL'!$N$101,13,FALSE)</f>
        <v>-36174.080000000002</v>
      </c>
      <c r="R24" s="29">
        <f t="shared" ca="1" si="3"/>
        <v>1448395.533855228</v>
      </c>
      <c r="S24" s="11">
        <v>30890</v>
      </c>
      <c r="T24" s="11">
        <v>0</v>
      </c>
      <c r="U24" s="11">
        <v>21022.75</v>
      </c>
      <c r="V24" s="11">
        <v>0</v>
      </c>
      <c r="W24" s="11">
        <v>0</v>
      </c>
      <c r="X24" s="11">
        <v>111914.33087022565</v>
      </c>
      <c r="Y24" s="11">
        <v>0</v>
      </c>
      <c r="Z24" s="29">
        <f t="shared" ca="1" si="1"/>
        <v>1612222.6147254535</v>
      </c>
      <c r="AD24" s="11" t="s">
        <v>1141</v>
      </c>
      <c r="AG24" s="11">
        <v>1152654.7271999998</v>
      </c>
      <c r="AH24" s="11">
        <v>42306.31387208146</v>
      </c>
      <c r="AI24" s="11">
        <v>1474504.4125273093</v>
      </c>
      <c r="AJ24" s="11">
        <f t="shared" si="4"/>
        <v>10065.201327918796</v>
      </c>
      <c r="AM24" s="30">
        <v>2451</v>
      </c>
    </row>
    <row r="25" spans="1:43" s="11" customFormat="1" x14ac:dyDescent="0.2">
      <c r="A25" s="9" t="s">
        <v>31</v>
      </c>
      <c r="B25" s="26">
        <v>2409</v>
      </c>
      <c r="C25" s="11">
        <f>VLOOKUP(B25,AWPU!$B$7:'AWPU'!$N$78,13,FALSE)</f>
        <v>1409267.9784000001</v>
      </c>
      <c r="D25" s="11">
        <f>VLOOKUP(B25,DEP!$B$6:'DEP'!$O$101,14,FALSE)</f>
        <v>315355.06563694391</v>
      </c>
      <c r="E25" s="11">
        <f>VLOOKUP(B25,LAC!$B$7:'LAC'!$D$102,3,FALSE)</f>
        <v>0</v>
      </c>
      <c r="F25" s="11">
        <f>VLOOKUP(B25,LCHI!$B$7:'LCHI'!$D$102,3,FALSE)</f>
        <v>0</v>
      </c>
      <c r="G25" s="11">
        <f>VLOOKUP(B25,EAL!$B$7:'EAL'!$G$101,6,FALSE)</f>
        <v>161441.22221772143</v>
      </c>
      <c r="H25" s="11">
        <f>VLOOKUP(B25,MOB!$B$7:'MOB'!$G$101,6,FALSE)</f>
        <v>2159.4239999997394</v>
      </c>
      <c r="I25" s="11">
        <f>VLOOKUP(B25,'LUMP SUM'!$B$7:$C$101,2,FALSE)</f>
        <v>100000</v>
      </c>
      <c r="J25" s="11">
        <f>VLOOKUP(B25,'SPLIT SITE'!$B$7:'SPLIT SITE'!$C$101,2,FALSE)</f>
        <v>0</v>
      </c>
      <c r="K25" s="11">
        <f>VLOOKUP(B25,RATES!$D$8:'RATES'!$E$116,2,FALSE)</f>
        <v>13006.14</v>
      </c>
      <c r="L25" s="11">
        <f>VLOOKUP(B25,PFI!$B$7:'PFI'!$C$102,2,FALSE)</f>
        <v>0</v>
      </c>
      <c r="M25" s="29">
        <f t="shared" si="0"/>
        <v>2001229.8302546649</v>
      </c>
      <c r="N25" s="11">
        <f>SUMIF('2015-16 MFG'!B:B,B25,'2015-16 MFG'!W:W)</f>
        <v>141146.43394155917</v>
      </c>
      <c r="O25" s="11">
        <f>SUMIF('2015-16 MFG'!B:B,B25,'2015-16 MFG'!AC:AC)</f>
        <v>0</v>
      </c>
      <c r="P25" s="29">
        <f t="shared" si="2"/>
        <v>2142376.264196224</v>
      </c>
      <c r="Q25" s="11">
        <f ca="1">VLOOKUP(B25,'DE-DEL'!$B$7:'DE-DEL'!$N$101,13,FALSE)</f>
        <v>-42305.279999999999</v>
      </c>
      <c r="R25" s="29">
        <f t="shared" ca="1" si="3"/>
        <v>2100070.9841962242</v>
      </c>
      <c r="S25" s="11">
        <v>32025</v>
      </c>
      <c r="T25" s="11">
        <v>0</v>
      </c>
      <c r="U25" s="11">
        <v>19521.125</v>
      </c>
      <c r="V25" s="11">
        <v>0</v>
      </c>
      <c r="W25" s="11">
        <v>0</v>
      </c>
      <c r="X25" s="11">
        <v>0</v>
      </c>
      <c r="Y25" s="11">
        <v>0</v>
      </c>
      <c r="Z25" s="29">
        <f t="shared" ca="1" si="1"/>
        <v>2151617.1091962242</v>
      </c>
      <c r="AD25" s="11" t="s">
        <v>1142</v>
      </c>
      <c r="AG25" s="11">
        <v>1348019.9351999999</v>
      </c>
      <c r="AH25" s="11">
        <v>202394.47714155936</v>
      </c>
      <c r="AI25" s="11">
        <v>2142376.264196224</v>
      </c>
      <c r="AJ25" s="11">
        <f t="shared" si="4"/>
        <v>0</v>
      </c>
      <c r="AM25" s="30">
        <v>2409</v>
      </c>
    </row>
    <row r="26" spans="1:43" s="11" customFormat="1" x14ac:dyDescent="0.2">
      <c r="A26" s="9" t="s">
        <v>98</v>
      </c>
      <c r="B26" s="26">
        <v>3158</v>
      </c>
      <c r="C26" s="11">
        <f>VLOOKUP(B26,AWPU!$B$7:'AWPU'!$N$78,13,FALSE)</f>
        <v>306362.60400000005</v>
      </c>
      <c r="D26" s="11">
        <f>VLOOKUP(B26,DEP!$B$6:'DEP'!$O$101,14,FALSE)</f>
        <v>69939.948557660158</v>
      </c>
      <c r="E26" s="11">
        <f>VLOOKUP(B26,LAC!$B$7:'LAC'!$D$102,3,FALSE)</f>
        <v>0</v>
      </c>
      <c r="F26" s="11">
        <f>VLOOKUP(B26,LCHI!$B$7:'LCHI'!$D$102,3,FALSE)</f>
        <v>0</v>
      </c>
      <c r="G26" s="11">
        <f>VLOOKUP(B26,EAL!$B$7:'EAL'!$G$101,6,FALSE)</f>
        <v>93702.8511</v>
      </c>
      <c r="H26" s="11">
        <f>VLOOKUP(B26,MOB!$B$7:'MOB'!$G$101,6,FALSE)</f>
        <v>0</v>
      </c>
      <c r="I26" s="11">
        <f>VLOOKUP(B26,'LUMP SUM'!$B$7:$C$101,2,FALSE)</f>
        <v>100000</v>
      </c>
      <c r="J26" s="11">
        <f>VLOOKUP(B26,'SPLIT SITE'!$B$7:'SPLIT SITE'!$C$101,2,FALSE)</f>
        <v>0</v>
      </c>
      <c r="K26" s="11">
        <f>VLOOKUP(B26,RATES!$D$8:'RATES'!$E$116,2,FALSE)</f>
        <v>-660.3439999999996</v>
      </c>
      <c r="L26" s="11">
        <f>VLOOKUP(B26,PFI!$B$7:'PFI'!$C$102,2,FALSE)</f>
        <v>0</v>
      </c>
      <c r="M26" s="29">
        <f t="shared" si="0"/>
        <v>569345.0596576602</v>
      </c>
      <c r="N26" s="11">
        <f>SUMIF('2015-16 MFG'!B:B,B26,'2015-16 MFG'!W:W)</f>
        <v>0</v>
      </c>
      <c r="O26" s="11">
        <f>SUMIF('2015-16 MFG'!B:B,B26,'2015-16 MFG'!AC:AC)</f>
        <v>0</v>
      </c>
      <c r="P26" s="29">
        <f t="shared" si="2"/>
        <v>569345.0596576602</v>
      </c>
      <c r="Q26" s="11">
        <f ca="1">VLOOKUP(B26,'DE-DEL'!$B$7:'DE-DEL'!$N$101,13,FALSE)</f>
        <v>-9196.7999999999993</v>
      </c>
      <c r="R26" s="29">
        <f t="shared" ca="1" si="3"/>
        <v>560148.25965766015</v>
      </c>
      <c r="S26" s="11">
        <v>32700</v>
      </c>
      <c r="T26" s="11">
        <v>0</v>
      </c>
      <c r="U26" s="11">
        <v>0</v>
      </c>
      <c r="V26" s="11">
        <v>0</v>
      </c>
      <c r="W26" s="11">
        <v>0</v>
      </c>
      <c r="X26" s="11">
        <v>104163.0348652923</v>
      </c>
      <c r="Y26" s="11">
        <v>0</v>
      </c>
      <c r="Z26" s="29">
        <f t="shared" ca="1" si="1"/>
        <v>697011.2945229524</v>
      </c>
      <c r="AD26" s="11" t="s">
        <v>1143</v>
      </c>
      <c r="AG26" s="11">
        <v>293047.81199999998</v>
      </c>
      <c r="AH26" s="11">
        <v>0</v>
      </c>
      <c r="AI26" s="11">
        <v>556030.26765766006</v>
      </c>
      <c r="AJ26" s="11">
        <f t="shared" si="4"/>
        <v>13314.792000000132</v>
      </c>
      <c r="AM26" s="30">
        <v>3158</v>
      </c>
    </row>
    <row r="27" spans="1:43" s="11" customFormat="1" x14ac:dyDescent="0.2">
      <c r="A27" s="9" t="s">
        <v>32</v>
      </c>
      <c r="B27" s="26">
        <v>2619</v>
      </c>
      <c r="C27" s="11">
        <f>VLOOKUP(B27,AWPU!$B$7:'AWPU'!$N$78,13,FALSE)</f>
        <v>520816.42680000007</v>
      </c>
      <c r="D27" s="11">
        <f>VLOOKUP(B27,DEP!$B$6:'DEP'!$O$101,14,FALSE)</f>
        <v>277337.15400364815</v>
      </c>
      <c r="E27" s="11">
        <f>VLOOKUP(B27,LAC!$B$7:'LAC'!$D$102,3,FALSE)</f>
        <v>1380.2810339999999</v>
      </c>
      <c r="F27" s="11">
        <f>VLOOKUP(B27,LCHI!$B$7:'LCHI'!$D$102,3,FALSE)</f>
        <v>0</v>
      </c>
      <c r="G27" s="11">
        <f>VLOOKUP(B27,EAL!$B$7:'EAL'!$G$101,6,FALSE)</f>
        <v>12250.504926315783</v>
      </c>
      <c r="H27" s="11">
        <f>VLOOKUP(B27,MOB!$B$7:'MOB'!$G$101,6,FALSE)</f>
        <v>0</v>
      </c>
      <c r="I27" s="11">
        <f>VLOOKUP(B27,'LUMP SUM'!$B$7:$C$101,2,FALSE)</f>
        <v>100000</v>
      </c>
      <c r="J27" s="11">
        <f>VLOOKUP(B27,'SPLIT SITE'!$B$7:'SPLIT SITE'!$C$101,2,FALSE)</f>
        <v>0</v>
      </c>
      <c r="K27" s="11">
        <f>VLOOKUP(B27,RATES!$D$8:'RATES'!$E$116,2,FALSE)</f>
        <v>-4900.5400000000009</v>
      </c>
      <c r="L27" s="11">
        <f>VLOOKUP(B27,PFI!$B$7:'PFI'!$C$102,2,FALSE)</f>
        <v>0</v>
      </c>
      <c r="M27" s="29">
        <f t="shared" si="0"/>
        <v>906883.82676396391</v>
      </c>
      <c r="N27" s="11">
        <f>SUMIF('2015-16 MFG'!B:B,B27,'2015-16 MFG'!W:W)</f>
        <v>0</v>
      </c>
      <c r="O27" s="11">
        <f>SUMIF('2015-16 MFG'!B:B,B27,'2015-16 MFG'!AC:AC)</f>
        <v>0</v>
      </c>
      <c r="P27" s="29">
        <f t="shared" si="2"/>
        <v>906883.82676396391</v>
      </c>
      <c r="Q27" s="11">
        <f ca="1">VLOOKUP(B27,'DE-DEL'!$B$7:'DE-DEL'!$N$101,13,FALSE)</f>
        <v>-15634.56</v>
      </c>
      <c r="R27" s="29">
        <f t="shared" ca="1" si="3"/>
        <v>891249.26676396385</v>
      </c>
      <c r="S27" s="11">
        <v>41780</v>
      </c>
      <c r="T27" s="11">
        <v>0</v>
      </c>
      <c r="U27" s="11">
        <v>13514.625</v>
      </c>
      <c r="V27" s="11">
        <v>0</v>
      </c>
      <c r="W27" s="11">
        <v>0</v>
      </c>
      <c r="X27" s="11">
        <v>79135.189495636834</v>
      </c>
      <c r="Y27" s="11">
        <v>0</v>
      </c>
      <c r="Z27" s="29">
        <f t="shared" ca="1" si="1"/>
        <v>1025679.0812596007</v>
      </c>
      <c r="AD27" s="11" t="s">
        <v>1144</v>
      </c>
      <c r="AG27" s="11">
        <v>498181.28039999993</v>
      </c>
      <c r="AH27" s="11">
        <v>8761.0168085891055</v>
      </c>
      <c r="AI27" s="11">
        <v>893009.69717255293</v>
      </c>
      <c r="AJ27" s="11">
        <f t="shared" si="4"/>
        <v>13874.12959141098</v>
      </c>
      <c r="AM27" s="30">
        <v>2619</v>
      </c>
    </row>
    <row r="28" spans="1:43" s="11" customFormat="1" x14ac:dyDescent="0.2">
      <c r="A28" s="9" t="s">
        <v>33</v>
      </c>
      <c r="B28" s="26">
        <v>2518</v>
      </c>
      <c r="C28" s="11">
        <f>VLOOKUP(B28,AWPU!$B$7:'AWPU'!$N$78,13,FALSE)</f>
        <v>868027.37800000003</v>
      </c>
      <c r="D28" s="11">
        <f>VLOOKUP(B28,DEP!$B$6:'DEP'!$O$101,14,FALSE)</f>
        <v>318739.53591785935</v>
      </c>
      <c r="E28" s="11">
        <f>VLOOKUP(B28,LAC!$B$7:'LAC'!$D$102,3,FALSE)</f>
        <v>0</v>
      </c>
      <c r="F28" s="11">
        <f>VLOOKUP(B28,LCHI!$B$7:'LCHI'!$D$102,3,FALSE)</f>
        <v>0</v>
      </c>
      <c r="G28" s="11">
        <f>VLOOKUP(B28,EAL!$B$7:'EAL'!$G$101,6,FALSE)</f>
        <v>140944.3905882354</v>
      </c>
      <c r="H28" s="11">
        <f>VLOOKUP(B28,MOB!$B$7:'MOB'!$G$101,6,FALSE)</f>
        <v>86376.960000000021</v>
      </c>
      <c r="I28" s="11">
        <f>VLOOKUP(B28,'LUMP SUM'!$B$7:$C$101,2,FALSE)</f>
        <v>100000</v>
      </c>
      <c r="J28" s="11">
        <f>VLOOKUP(B28,'SPLIT SITE'!$B$7:'SPLIT SITE'!$C$101,2,FALSE)</f>
        <v>0</v>
      </c>
      <c r="K28" s="11">
        <f>VLOOKUP(B28,RATES!$D$8:'RATES'!$E$116,2,FALSE)</f>
        <v>-5774.2099999999991</v>
      </c>
      <c r="L28" s="11">
        <f>VLOOKUP(B28,PFI!$B$7:'PFI'!$C$102,2,FALSE)</f>
        <v>0</v>
      </c>
      <c r="M28" s="29">
        <f t="shared" si="0"/>
        <v>1508314.0545060947</v>
      </c>
      <c r="N28" s="11">
        <f>SUMIF('2015-16 MFG'!B:B,B28,'2015-16 MFG'!W:W)</f>
        <v>0</v>
      </c>
      <c r="O28" s="11">
        <f>SUMIF('2015-16 MFG'!B:B,B28,'2015-16 MFG'!AC:AC)</f>
        <v>0</v>
      </c>
      <c r="P28" s="29">
        <f t="shared" si="2"/>
        <v>1508314.0545060947</v>
      </c>
      <c r="Q28" s="11">
        <f ca="1">VLOOKUP(B28,'DE-DEL'!$B$7:'DE-DEL'!$N$101,13,FALSE)</f>
        <v>-26057.599999999999</v>
      </c>
      <c r="R28" s="29">
        <f t="shared" ca="1" si="3"/>
        <v>1482256.4545060946</v>
      </c>
      <c r="S28" s="11">
        <v>23620</v>
      </c>
      <c r="T28" s="11">
        <v>0</v>
      </c>
      <c r="U28" s="11">
        <v>13514.625</v>
      </c>
      <c r="V28" s="11">
        <v>0</v>
      </c>
      <c r="W28" s="11">
        <v>0</v>
      </c>
      <c r="X28" s="11">
        <v>34200.814568610869</v>
      </c>
      <c r="Y28" s="11">
        <v>0</v>
      </c>
      <c r="Z28" s="29">
        <f t="shared" ca="1" si="1"/>
        <v>1553591.8940747054</v>
      </c>
      <c r="AD28" s="11" t="s">
        <v>1145</v>
      </c>
      <c r="AG28" s="11">
        <v>830302.13399999996</v>
      </c>
      <c r="AH28" s="11">
        <v>0</v>
      </c>
      <c r="AI28" s="11">
        <v>1470588.8105060947</v>
      </c>
      <c r="AJ28" s="11">
        <f t="shared" si="4"/>
        <v>37725.243999999948</v>
      </c>
      <c r="AM28" s="30">
        <v>2518</v>
      </c>
      <c r="AP28" s="30"/>
      <c r="AQ28" s="30"/>
    </row>
    <row r="29" spans="1:43" s="11" customFormat="1" x14ac:dyDescent="0.2">
      <c r="A29" s="9" t="s">
        <v>34</v>
      </c>
      <c r="B29" s="26">
        <v>2457</v>
      </c>
      <c r="C29" s="11">
        <f>VLOOKUP(B29,AWPU!$B$7:'AWPU'!$N$78,13,FALSE)</f>
        <v>924193.85540000012</v>
      </c>
      <c r="D29" s="11">
        <f>VLOOKUP(B29,DEP!$B$6:'DEP'!$O$101,14,FALSE)</f>
        <v>145426.3390237166</v>
      </c>
      <c r="E29" s="11">
        <f>VLOOKUP(B29,LAC!$B$7:'LAC'!$D$102,3,FALSE)</f>
        <v>4015.2823393442623</v>
      </c>
      <c r="F29" s="11">
        <f>VLOOKUP(B29,LCHI!$B$7:'LCHI'!$D$102,3,FALSE)</f>
        <v>0</v>
      </c>
      <c r="G29" s="11">
        <f>VLOOKUP(B29,EAL!$B$7:'EAL'!$G$101,6,FALSE)</f>
        <v>24816.280200000016</v>
      </c>
      <c r="H29" s="11">
        <f>VLOOKUP(B29,MOB!$B$7:'MOB'!$G$101,6,FALSE)</f>
        <v>0</v>
      </c>
      <c r="I29" s="11">
        <f>VLOOKUP(B29,'LUMP SUM'!$B$7:$C$101,2,FALSE)</f>
        <v>100000</v>
      </c>
      <c r="J29" s="11">
        <f>VLOOKUP(B29,'SPLIT SITE'!$B$7:'SPLIT SITE'!$C$101,2,FALSE)</f>
        <v>0</v>
      </c>
      <c r="K29" s="11">
        <f>VLOOKUP(B29,RATES!$D$8:'RATES'!$E$116,2,FALSE)</f>
        <v>-6855.8300000000017</v>
      </c>
      <c r="L29" s="11">
        <f>VLOOKUP(B29,PFI!$B$7:'PFI'!$C$102,2,FALSE)</f>
        <v>0</v>
      </c>
      <c r="M29" s="29">
        <f t="shared" si="0"/>
        <v>1191595.9269630609</v>
      </c>
      <c r="N29" s="11">
        <f>SUMIF('2015-16 MFG'!B:B,B29,'2015-16 MFG'!W:W)</f>
        <v>0</v>
      </c>
      <c r="O29" s="11">
        <f>SUMIF('2015-16 MFG'!B:B,B29,'2015-16 MFG'!AC:AC)</f>
        <v>0</v>
      </c>
      <c r="P29" s="29">
        <f t="shared" si="2"/>
        <v>1191595.9269630609</v>
      </c>
      <c r="Q29" s="11">
        <f ca="1">VLOOKUP(B29,'DE-DEL'!$B$7:'DE-DEL'!$N$101,13,FALSE)</f>
        <v>-27743.68</v>
      </c>
      <c r="R29" s="29">
        <f t="shared" ca="1" si="3"/>
        <v>1163852.2469630609</v>
      </c>
      <c r="S29" s="11">
        <v>0</v>
      </c>
      <c r="T29" s="11">
        <v>0</v>
      </c>
      <c r="U29" s="11">
        <v>5005.416666666667</v>
      </c>
      <c r="V29" s="11">
        <v>0</v>
      </c>
      <c r="W29" s="11">
        <v>0</v>
      </c>
      <c r="X29" s="11">
        <v>0</v>
      </c>
      <c r="Y29" s="11">
        <v>0</v>
      </c>
      <c r="Z29" s="29">
        <f t="shared" ca="1" si="1"/>
        <v>1168857.6636297277</v>
      </c>
      <c r="AD29" s="11" t="s">
        <v>1146</v>
      </c>
      <c r="AG29" s="11">
        <v>884027.56619999988</v>
      </c>
      <c r="AH29" s="11">
        <v>0</v>
      </c>
      <c r="AI29" s="11">
        <v>1151429.6377630606</v>
      </c>
      <c r="AJ29" s="11">
        <f t="shared" si="4"/>
        <v>40166.289200000232</v>
      </c>
      <c r="AM29" s="30">
        <v>2457</v>
      </c>
    </row>
    <row r="30" spans="1:43" s="11" customFormat="1" x14ac:dyDescent="0.2">
      <c r="A30" s="9" t="s">
        <v>99</v>
      </c>
      <c r="B30" s="26">
        <v>2010</v>
      </c>
      <c r="C30" s="11">
        <f>VLOOKUP(B30,AWPU!$B$7:'AWPU'!$N$78,13,FALSE)</f>
        <v>520816.42680000007</v>
      </c>
      <c r="D30" s="11">
        <f>VLOOKUP(B30,DEP!$B$6:'DEP'!$O$101,14,FALSE)</f>
        <v>189724.10783986718</v>
      </c>
      <c r="E30" s="11">
        <f>VLOOKUP(B30,LAC!$B$7:'LAC'!$D$102,3,FALSE)</f>
        <v>0</v>
      </c>
      <c r="F30" s="11">
        <f>VLOOKUP(B30,LCHI!$B$7:'LCHI'!$D$102,3,FALSE)</f>
        <v>0</v>
      </c>
      <c r="G30" s="11">
        <f>VLOOKUP(B30,EAL!$B$7:'EAL'!$G$101,6,FALSE)</f>
        <v>29433.262562790747</v>
      </c>
      <c r="H30" s="11">
        <f>VLOOKUP(B30,MOB!$B$7:'MOB'!$G$101,6,FALSE)</f>
        <v>0</v>
      </c>
      <c r="I30" s="11">
        <f>VLOOKUP(B30,'LUMP SUM'!$B$7:$C$101,2,FALSE)</f>
        <v>100000</v>
      </c>
      <c r="J30" s="11">
        <f>VLOOKUP(B30,'SPLIT SITE'!$B$7:'SPLIT SITE'!$C$101,2,FALSE)</f>
        <v>0</v>
      </c>
      <c r="K30" s="11">
        <f>VLOOKUP(B30,RATES!$D$8:'RATES'!$E$116,2,FALSE)</f>
        <v>2933.3499999999985</v>
      </c>
      <c r="L30" s="11">
        <f>VLOOKUP(B30,PFI!$B$7:'PFI'!$C$102,2,FALSE)</f>
        <v>0</v>
      </c>
      <c r="M30" s="29">
        <f t="shared" si="0"/>
        <v>842907.147202658</v>
      </c>
      <c r="N30" s="11">
        <f>SUMIF('2015-16 MFG'!B:B,B30,'2015-16 MFG'!W:W)</f>
        <v>73291.563901165966</v>
      </c>
      <c r="O30" s="11">
        <f>SUMIF('2015-16 MFG'!B:B,B30,'2015-16 MFG'!AC:AC)</f>
        <v>0</v>
      </c>
      <c r="P30" s="29">
        <f t="shared" si="2"/>
        <v>916198.71110382397</v>
      </c>
      <c r="Q30" s="11">
        <f>VLOOKUP(B30,'DE-DEL'!$B$7:'DE-DEL'!$N$101,13,FALSE)</f>
        <v>0</v>
      </c>
      <c r="R30" s="29">
        <f t="shared" si="3"/>
        <v>916198.71110382397</v>
      </c>
      <c r="S30" s="11">
        <v>41780</v>
      </c>
      <c r="T30" s="11">
        <v>0</v>
      </c>
      <c r="U30" s="11">
        <v>31534.125</v>
      </c>
      <c r="V30" s="11">
        <v>0</v>
      </c>
      <c r="W30" s="11">
        <v>0</v>
      </c>
      <c r="X30" s="11">
        <v>77238.924303766311</v>
      </c>
      <c r="Y30" s="11">
        <v>0</v>
      </c>
      <c r="Z30" s="29">
        <f t="shared" si="1"/>
        <v>1066751.7604075903</v>
      </c>
      <c r="AD30" s="11" t="s">
        <v>1147</v>
      </c>
      <c r="AG30" s="11">
        <v>498181.28039999993</v>
      </c>
      <c r="AH30" s="11">
        <v>95926.710301166167</v>
      </c>
      <c r="AI30" s="11">
        <v>916198.71110382397</v>
      </c>
      <c r="AJ30" s="11">
        <f t="shared" si="4"/>
        <v>0</v>
      </c>
      <c r="AM30" s="30">
        <v>2010</v>
      </c>
    </row>
    <row r="31" spans="1:43" s="11" customFormat="1" x14ac:dyDescent="0.2">
      <c r="A31" s="9" t="s">
        <v>35</v>
      </c>
      <c r="B31" s="26">
        <v>2002</v>
      </c>
      <c r="C31" s="11">
        <f>VLOOKUP(B31,AWPU!$B$7:'AWPU'!$N$78,13,FALSE)</f>
        <v>1097799.331</v>
      </c>
      <c r="D31" s="11">
        <f>VLOOKUP(B31,DEP!$B$6:'DEP'!$O$101,14,FALSE)</f>
        <v>59067.558048394865</v>
      </c>
      <c r="E31" s="11">
        <f>VLOOKUP(B31,LAC!$B$7:'LAC'!$D$102,3,FALSE)</f>
        <v>1346.9518078703702</v>
      </c>
      <c r="F31" s="11">
        <f>VLOOKUP(B31,LCHI!$B$7:'LCHI'!$D$102,3,FALSE)</f>
        <v>0</v>
      </c>
      <c r="G31" s="11">
        <f>VLOOKUP(B31,EAL!$B$7:'EAL'!$G$101,6,FALSE)</f>
        <v>16042.094125340596</v>
      </c>
      <c r="H31" s="11">
        <f>VLOOKUP(B31,MOB!$B$7:'MOB'!$G$101,6,FALSE)</f>
        <v>0</v>
      </c>
      <c r="I31" s="11">
        <f>VLOOKUP(B31,'LUMP SUM'!$B$7:$C$101,2,FALSE)</f>
        <v>100000</v>
      </c>
      <c r="J31" s="11">
        <f>VLOOKUP(B31,'SPLIT SITE'!$B$7:'SPLIT SITE'!$C$101,2,FALSE)</f>
        <v>0</v>
      </c>
      <c r="K31" s="11">
        <f>VLOOKUP(B31,RATES!$D$8:'RATES'!$E$116,2,FALSE)</f>
        <v>32356.980000000003</v>
      </c>
      <c r="L31" s="11">
        <f>VLOOKUP(B31,PFI!$B$7:'PFI'!$C$102,2,FALSE)</f>
        <v>0</v>
      </c>
      <c r="M31" s="29">
        <f t="shared" si="0"/>
        <v>1306612.914981606</v>
      </c>
      <c r="N31" s="11">
        <f>SUMIF('2015-16 MFG'!B:B,B31,'2015-16 MFG'!W:W)</f>
        <v>0</v>
      </c>
      <c r="O31" s="11">
        <f>SUMIF('2015-16 MFG'!B:B,B31,'2015-16 MFG'!AC:AC)</f>
        <v>0</v>
      </c>
      <c r="P31" s="29">
        <f t="shared" si="2"/>
        <v>1306612.914981606</v>
      </c>
      <c r="Q31" s="11">
        <f ca="1">VLOOKUP(B31,'DE-DEL'!$B$7:'DE-DEL'!$N$101,13,FALSE)</f>
        <v>-32955.199999999997</v>
      </c>
      <c r="R31" s="29">
        <f t="shared" ca="1" si="3"/>
        <v>1273657.714981606</v>
      </c>
      <c r="S31" s="11">
        <v>47915</v>
      </c>
      <c r="T31" s="11">
        <v>0</v>
      </c>
      <c r="U31" s="11">
        <v>82589.375</v>
      </c>
      <c r="V31" s="11">
        <v>0</v>
      </c>
      <c r="W31" s="11">
        <v>0</v>
      </c>
      <c r="X31" s="11">
        <v>99006.92575078056</v>
      </c>
      <c r="Y31" s="11">
        <v>0</v>
      </c>
      <c r="Z31" s="29">
        <f t="shared" ca="1" si="1"/>
        <v>1503169.0157323866</v>
      </c>
      <c r="AD31" s="11" t="s">
        <v>1149</v>
      </c>
      <c r="AG31" s="11">
        <v>1050087.993</v>
      </c>
      <c r="AH31" s="11">
        <v>15596.686969159637</v>
      </c>
      <c r="AI31" s="11">
        <v>1274498.2639507656</v>
      </c>
      <c r="AJ31" s="11">
        <f t="shared" si="4"/>
        <v>32114.651030840352</v>
      </c>
      <c r="AM31" s="30">
        <v>2002</v>
      </c>
    </row>
    <row r="32" spans="1:43" s="11" customFormat="1" x14ac:dyDescent="0.2">
      <c r="A32" s="9" t="s">
        <v>36</v>
      </c>
      <c r="B32" s="26">
        <v>3544</v>
      </c>
      <c r="C32" s="11">
        <f>VLOOKUP(B32,AWPU!$B$7:'AWPU'!$N$78,13,FALSE)</f>
        <v>1370972.6529000001</v>
      </c>
      <c r="D32" s="11">
        <f>VLOOKUP(B32,DEP!$B$6:'DEP'!$O$101,14,FALSE)</f>
        <v>437509.37591966859</v>
      </c>
      <c r="E32" s="11">
        <f>VLOOKUP(B32,LAC!$B$7:'LAC'!$D$102,3,FALSE)</f>
        <v>8074.1929766666663</v>
      </c>
      <c r="F32" s="11">
        <f>VLOOKUP(B32,LCHI!$B$7:'LCHI'!$D$102,3,FALSE)</f>
        <v>0</v>
      </c>
      <c r="G32" s="11">
        <f>VLOOKUP(B32,EAL!$B$7:'EAL'!$G$101,6,FALSE)</f>
        <v>235063.0782943395</v>
      </c>
      <c r="H32" s="11">
        <f>VLOOKUP(B32,MOB!$B$7:'MOB'!$G$101,6,FALSE)</f>
        <v>0</v>
      </c>
      <c r="I32" s="11">
        <f>VLOOKUP(B32,'LUMP SUM'!$B$7:$C$101,2,FALSE)</f>
        <v>100000</v>
      </c>
      <c r="J32" s="11">
        <f>VLOOKUP(B32,'SPLIT SITE'!$B$7:'SPLIT SITE'!$C$101,2,FALSE)</f>
        <v>0</v>
      </c>
      <c r="K32" s="11">
        <f>VLOOKUP(B32,RATES!$D$8:'RATES'!$E$116,2,FALSE)</f>
        <v>-11719.740000000005</v>
      </c>
      <c r="L32" s="11">
        <f>VLOOKUP(B32,PFI!$B$7:'PFI'!$C$102,2,FALSE)</f>
        <v>129503</v>
      </c>
      <c r="M32" s="29">
        <f t="shared" si="0"/>
        <v>2269402.5600906746</v>
      </c>
      <c r="N32" s="11">
        <f>SUMIF('2015-16 MFG'!B:B,B32,'2015-16 MFG'!W:W)</f>
        <v>40396.117477437016</v>
      </c>
      <c r="O32" s="11">
        <f>SUMIF('2015-16 MFG'!B:B,B32,'2015-16 MFG'!AC:AC)</f>
        <v>0</v>
      </c>
      <c r="P32" s="29">
        <f t="shared" si="2"/>
        <v>2309798.6775681116</v>
      </c>
      <c r="Q32" s="11">
        <f ca="1">VLOOKUP(B32,'DE-DEL'!$B$7:'DE-DEL'!$N$101,13,FALSE)</f>
        <v>-41155.68</v>
      </c>
      <c r="R32" s="29">
        <f t="shared" ca="1" si="3"/>
        <v>2268642.9975681114</v>
      </c>
      <c r="S32" s="11">
        <v>10000</v>
      </c>
      <c r="T32" s="11">
        <v>0</v>
      </c>
      <c r="U32" s="11">
        <v>36039</v>
      </c>
      <c r="V32" s="11">
        <v>0</v>
      </c>
      <c r="W32" s="11">
        <v>0</v>
      </c>
      <c r="X32" s="11">
        <v>124491.18664708236</v>
      </c>
      <c r="Y32" s="11">
        <v>0</v>
      </c>
      <c r="Z32" s="29">
        <f t="shared" ca="1" si="1"/>
        <v>2439173.1842151936</v>
      </c>
      <c r="AD32" s="11" t="s">
        <v>1150</v>
      </c>
      <c r="AG32" s="11">
        <v>1311388.9586999998</v>
      </c>
      <c r="AH32" s="11">
        <v>99979.811677437276</v>
      </c>
      <c r="AI32" s="11">
        <v>2309798.6775681116</v>
      </c>
      <c r="AJ32" s="11">
        <f t="shared" si="4"/>
        <v>0</v>
      </c>
      <c r="AM32" s="30">
        <v>3544</v>
      </c>
    </row>
    <row r="33" spans="1:43" s="11" customFormat="1" x14ac:dyDescent="0.2">
      <c r="A33" s="9" t="s">
        <v>100</v>
      </c>
      <c r="B33" s="26">
        <v>2006</v>
      </c>
      <c r="C33" s="11">
        <f>VLOOKUP(B33,AWPU!$B$7:'AWPU'!$N$78,13,FALSE)</f>
        <v>671444.70710000012</v>
      </c>
      <c r="D33" s="11">
        <f>VLOOKUP(B33,DEP!$B$6:'DEP'!$O$101,14,FALSE)</f>
        <v>15617.155996870268</v>
      </c>
      <c r="E33" s="11">
        <f>VLOOKUP(B33,LAC!$B$7:'LAC'!$D$102,3,FALSE)</f>
        <v>1429.3011730923693</v>
      </c>
      <c r="F33" s="11">
        <f>VLOOKUP(B33,LCHI!$B$7:'LCHI'!$D$102,3,FALSE)</f>
        <v>0</v>
      </c>
      <c r="G33" s="11">
        <f>VLOOKUP(B33,EAL!$B$7:'EAL'!$G$101,6,FALSE)</f>
        <v>5185.6679585253496</v>
      </c>
      <c r="H33" s="11">
        <f>VLOOKUP(B33,MOB!$B$7:'MOB'!$G$101,6,FALSE)</f>
        <v>0</v>
      </c>
      <c r="I33" s="11">
        <f>VLOOKUP(B33,'LUMP SUM'!$B$7:$C$101,2,FALSE)</f>
        <v>100000</v>
      </c>
      <c r="J33" s="11">
        <f>VLOOKUP(B33,'SPLIT SITE'!$B$7:'SPLIT SITE'!$C$101,2,FALSE)</f>
        <v>0</v>
      </c>
      <c r="K33" s="11">
        <f>VLOOKUP(B33,RATES!$D$8:'RATES'!$E$116,2,FALSE)</f>
        <v>14577.75</v>
      </c>
      <c r="L33" s="11">
        <f>VLOOKUP(B33,PFI!$B$7:'PFI'!$C$102,2,FALSE)</f>
        <v>0</v>
      </c>
      <c r="M33" s="29">
        <f t="shared" si="0"/>
        <v>808254.58222848806</v>
      </c>
      <c r="N33" s="11">
        <f>SUMIF('2015-16 MFG'!B:B,B33,'2015-16 MFG'!W:W)</f>
        <v>26463.304329274339</v>
      </c>
      <c r="O33" s="11">
        <f>SUMIF('2015-16 MFG'!B:B,B33,'2015-16 MFG'!AC:AC)</f>
        <v>0</v>
      </c>
      <c r="P33" s="29">
        <f t="shared" si="2"/>
        <v>834717.88655776239</v>
      </c>
      <c r="Q33" s="11">
        <f ca="1">VLOOKUP(B33,'DE-DEL'!$B$7:'DE-DEL'!$N$101,13,FALSE)</f>
        <v>-20156.32</v>
      </c>
      <c r="R33" s="29">
        <f t="shared" ca="1" si="3"/>
        <v>814561.56655776245</v>
      </c>
      <c r="S33" s="11">
        <v>28160</v>
      </c>
      <c r="T33" s="11">
        <v>0</v>
      </c>
      <c r="U33" s="11">
        <v>67573.125</v>
      </c>
      <c r="V33" s="11">
        <v>0</v>
      </c>
      <c r="W33" s="11">
        <v>0</v>
      </c>
      <c r="X33" s="11">
        <v>101006.6581457742</v>
      </c>
      <c r="Y33" s="11">
        <v>0</v>
      </c>
      <c r="Z33" s="29">
        <f t="shared" ca="1" si="1"/>
        <v>1011301.3497035366</v>
      </c>
      <c r="AD33" s="11" t="s">
        <v>1151</v>
      </c>
      <c r="AG33" s="11">
        <v>642263.1213</v>
      </c>
      <c r="AH33" s="11">
        <v>55644.890129274456</v>
      </c>
      <c r="AI33" s="11">
        <v>834717.88655776239</v>
      </c>
      <c r="AJ33" s="11">
        <f t="shared" si="4"/>
        <v>0</v>
      </c>
      <c r="AM33" s="30">
        <v>2006</v>
      </c>
    </row>
    <row r="34" spans="1:43" s="11" customFormat="1" x14ac:dyDescent="0.2">
      <c r="A34" s="9" t="s">
        <v>37</v>
      </c>
      <c r="B34" s="26">
        <v>2434</v>
      </c>
      <c r="C34" s="11">
        <f>VLOOKUP(B34,AWPU!$B$7:'AWPU'!$N$78,13,FALSE)</f>
        <v>1176943.0037</v>
      </c>
      <c r="D34" s="11">
        <f>VLOOKUP(B34,DEP!$B$6:'DEP'!$O$101,14,FALSE)</f>
        <v>411644.5782854876</v>
      </c>
      <c r="E34" s="11">
        <f>VLOOKUP(B34,LAC!$B$7:'LAC'!$D$102,3,FALSE)</f>
        <v>12645.261460135134</v>
      </c>
      <c r="F34" s="11">
        <f>VLOOKUP(B34,LCHI!$B$7:'LCHI'!$D$102,3,FALSE)</f>
        <v>0</v>
      </c>
      <c r="G34" s="11">
        <f>VLOOKUP(B34,EAL!$B$7:'EAL'!$G$101,6,FALSE)</f>
        <v>12360.102824020873</v>
      </c>
      <c r="H34" s="11">
        <f>VLOOKUP(B34,MOB!$B$7:'MOB'!$G$101,6,FALSE)</f>
        <v>19526.377200845622</v>
      </c>
      <c r="I34" s="11">
        <f>VLOOKUP(B34,'LUMP SUM'!$B$7:$C$101,2,FALSE)</f>
        <v>100000</v>
      </c>
      <c r="J34" s="11">
        <f>VLOOKUP(B34,'SPLIT SITE'!$B$7:'SPLIT SITE'!$C$101,2,FALSE)</f>
        <v>0</v>
      </c>
      <c r="K34" s="11">
        <f>VLOOKUP(B34,RATES!$D$8:'RATES'!$E$116,2,FALSE)</f>
        <v>-6126.8600000000006</v>
      </c>
      <c r="L34" s="11">
        <f>VLOOKUP(B34,PFI!$B$7:'PFI'!$C$102,2,FALSE)</f>
        <v>139469</v>
      </c>
      <c r="M34" s="29">
        <f t="shared" si="0"/>
        <v>1866461.4634704893</v>
      </c>
      <c r="N34" s="11">
        <f>SUMIF('2015-16 MFG'!B:B,B34,'2015-16 MFG'!W:W)</f>
        <v>43925.774505948881</v>
      </c>
      <c r="O34" s="11">
        <f>SUMIF('2015-16 MFG'!B:B,B34,'2015-16 MFG'!AC:AC)</f>
        <v>0</v>
      </c>
      <c r="P34" s="29">
        <f t="shared" si="2"/>
        <v>1910387.2379764381</v>
      </c>
      <c r="Q34" s="11">
        <f ca="1">VLOOKUP(B34,'DE-DEL'!$B$7:'DE-DEL'!$N$101,13,FALSE)</f>
        <v>-35331.040000000001</v>
      </c>
      <c r="R34" s="29">
        <f t="shared" ca="1" si="3"/>
        <v>1875056.1979764381</v>
      </c>
      <c r="S34" s="11">
        <v>15000</v>
      </c>
      <c r="T34" s="11">
        <v>218061.67499999999</v>
      </c>
      <c r="U34" s="11">
        <v>6757.3125000000009</v>
      </c>
      <c r="V34" s="11">
        <v>0</v>
      </c>
      <c r="W34" s="11">
        <v>0</v>
      </c>
      <c r="X34" s="11">
        <v>216637.02539788731</v>
      </c>
      <c r="Y34" s="11">
        <v>0</v>
      </c>
      <c r="Z34" s="29">
        <f t="shared" ca="1" si="1"/>
        <v>2331512.2108743256</v>
      </c>
      <c r="AD34" s="11" t="s">
        <v>1152</v>
      </c>
      <c r="AG34" s="11">
        <v>1125792.0111</v>
      </c>
      <c r="AH34" s="11">
        <v>95076.767105948878</v>
      </c>
      <c r="AI34" s="11">
        <v>1910387.2379764381</v>
      </c>
      <c r="AJ34" s="11">
        <f t="shared" si="4"/>
        <v>0</v>
      </c>
      <c r="AM34" s="30">
        <v>2434</v>
      </c>
    </row>
    <row r="35" spans="1:43" s="11" customFormat="1" x14ac:dyDescent="0.2">
      <c r="A35" s="9" t="s">
        <v>38</v>
      </c>
      <c r="B35" s="26">
        <v>2522</v>
      </c>
      <c r="C35" s="11">
        <f>VLOOKUP(B35,AWPU!$B$7:'AWPU'!$N$78,13,FALSE)</f>
        <v>990572.41960000014</v>
      </c>
      <c r="D35" s="11">
        <f>VLOOKUP(B35,DEP!$B$6:'DEP'!$O$101,14,FALSE)</f>
        <v>66366.785231563757</v>
      </c>
      <c r="E35" s="11">
        <f>VLOOKUP(B35,LAC!$B$7:'LAC'!$D$102,3,FALSE)</f>
        <v>1271.3028561743342</v>
      </c>
      <c r="F35" s="11">
        <f>VLOOKUP(B35,LCHI!$B$7:'LCHI'!$D$102,3,FALSE)</f>
        <v>0</v>
      </c>
      <c r="G35" s="11">
        <f>VLOOKUP(B35,EAL!$B$7:'EAL'!$G$101,6,FALSE)</f>
        <v>6640.4942879999999</v>
      </c>
      <c r="H35" s="11">
        <f>VLOOKUP(B35,MOB!$B$7:'MOB'!$G$101,6,FALSE)</f>
        <v>0</v>
      </c>
      <c r="I35" s="11">
        <f>VLOOKUP(B35,'LUMP SUM'!$B$7:$C$101,2,FALSE)</f>
        <v>100000</v>
      </c>
      <c r="J35" s="11">
        <f>VLOOKUP(B35,'SPLIT SITE'!$B$7:'SPLIT SITE'!$C$101,2,FALSE)</f>
        <v>0</v>
      </c>
      <c r="K35" s="11">
        <f>VLOOKUP(B35,RATES!$D$8:'RATES'!$E$116,2,FALSE)</f>
        <v>-4196.25</v>
      </c>
      <c r="L35" s="11">
        <f>VLOOKUP(B35,PFI!$B$7:'PFI'!$C$102,2,FALSE)</f>
        <v>0</v>
      </c>
      <c r="M35" s="29">
        <f t="shared" si="0"/>
        <v>1160654.7519757382</v>
      </c>
      <c r="N35" s="11">
        <f>SUMIF('2015-16 MFG'!B:B,B35,'2015-16 MFG'!W:W)</f>
        <v>0</v>
      </c>
      <c r="O35" s="11">
        <f>SUMIF('2015-16 MFG'!B:B,B35,'2015-16 MFG'!AC:AC)</f>
        <v>0</v>
      </c>
      <c r="P35" s="29">
        <f t="shared" si="2"/>
        <v>1160654.7519757382</v>
      </c>
      <c r="Q35" s="11">
        <f ca="1">VLOOKUP(B35,'DE-DEL'!$B$7:'DE-DEL'!$N$101,13,FALSE)</f>
        <v>-29736.32</v>
      </c>
      <c r="R35" s="29">
        <f t="shared" ca="1" si="3"/>
        <v>1130918.4319757381</v>
      </c>
      <c r="S35" s="11">
        <v>34970</v>
      </c>
      <c r="T35" s="11">
        <v>0</v>
      </c>
      <c r="U35" s="11">
        <v>17268.6875</v>
      </c>
      <c r="V35" s="11">
        <v>0</v>
      </c>
      <c r="W35" s="11">
        <v>0</v>
      </c>
      <c r="X35" s="11">
        <v>0</v>
      </c>
      <c r="Y35" s="11">
        <v>0</v>
      </c>
      <c r="Z35" s="29">
        <f t="shared" ca="1" si="1"/>
        <v>1183157.1194757381</v>
      </c>
      <c r="AD35" s="11" t="s">
        <v>1153</v>
      </c>
      <c r="AG35" s="11">
        <v>947521.25879999995</v>
      </c>
      <c r="AH35" s="11">
        <v>0</v>
      </c>
      <c r="AI35" s="11">
        <v>1117603.591175738</v>
      </c>
      <c r="AJ35" s="11">
        <f t="shared" si="4"/>
        <v>43051.160800000187</v>
      </c>
      <c r="AM35" s="30">
        <v>2522</v>
      </c>
      <c r="AP35" s="30"/>
      <c r="AQ35" s="30"/>
    </row>
    <row r="36" spans="1:43" s="11" customFormat="1" x14ac:dyDescent="0.2">
      <c r="A36" s="9" t="s">
        <v>39</v>
      </c>
      <c r="B36" s="26">
        <v>2436</v>
      </c>
      <c r="C36" s="11">
        <f>VLOOKUP(B36,AWPU!$B$7:'AWPU'!$N$78,13,FALSE)</f>
        <v>857815.29120000009</v>
      </c>
      <c r="D36" s="11">
        <f>VLOOKUP(B36,DEP!$B$6:'DEP'!$O$101,14,FALSE)</f>
        <v>103372.63140862244</v>
      </c>
      <c r="E36" s="11">
        <f>VLOOKUP(B36,LAC!$B$7:'LAC'!$D$102,3,FALSE)</f>
        <v>2755.6412799999998</v>
      </c>
      <c r="F36" s="11">
        <f>VLOOKUP(B36,LCHI!$B$7:'LCHI'!$D$102,3,FALSE)</f>
        <v>0</v>
      </c>
      <c r="G36" s="11">
        <f>VLOOKUP(B36,EAL!$B$7:'EAL'!$G$101,6,FALSE)</f>
        <v>3091.6834064516097</v>
      </c>
      <c r="H36" s="11">
        <f>VLOOKUP(B36,MOB!$B$7:'MOB'!$G$101,6,FALSE)</f>
        <v>0</v>
      </c>
      <c r="I36" s="11">
        <f>VLOOKUP(B36,'LUMP SUM'!$B$7:$C$101,2,FALSE)</f>
        <v>100000</v>
      </c>
      <c r="J36" s="11">
        <f>VLOOKUP(B36,'SPLIT SITE'!$B$7:'SPLIT SITE'!$C$101,2,FALSE)</f>
        <v>0</v>
      </c>
      <c r="K36" s="11">
        <f>VLOOKUP(B36,RATES!$D$8:'RATES'!$E$116,2,FALSE)</f>
        <v>7637.3099999999995</v>
      </c>
      <c r="L36" s="11">
        <f>VLOOKUP(B36,PFI!$B$7:'PFI'!$C$102,2,FALSE)</f>
        <v>0</v>
      </c>
      <c r="M36" s="29">
        <f t="shared" si="0"/>
        <v>1074672.5572950742</v>
      </c>
      <c r="N36" s="11">
        <f>SUMIF('2015-16 MFG'!B:B,B36,'2015-16 MFG'!W:W)</f>
        <v>15739.900545426412</v>
      </c>
      <c r="O36" s="11">
        <f>SUMIF('2015-16 MFG'!B:B,B36,'2015-16 MFG'!AC:AC)</f>
        <v>0</v>
      </c>
      <c r="P36" s="29">
        <f t="shared" si="2"/>
        <v>1090412.4578405006</v>
      </c>
      <c r="Q36" s="11">
        <f ca="1">VLOOKUP(B36,'DE-DEL'!$B$7:'DE-DEL'!$N$101,13,FALSE)</f>
        <v>-25751.040000000001</v>
      </c>
      <c r="R36" s="29">
        <f t="shared" ca="1" si="3"/>
        <v>1064661.4178405006</v>
      </c>
      <c r="S36" s="11">
        <v>10000</v>
      </c>
      <c r="T36" s="11">
        <v>174900.25</v>
      </c>
      <c r="U36" s="11">
        <v>28530.875</v>
      </c>
      <c r="V36" s="11">
        <v>0</v>
      </c>
      <c r="W36" s="11">
        <v>0</v>
      </c>
      <c r="X36" s="11">
        <v>0</v>
      </c>
      <c r="Y36" s="11">
        <v>0</v>
      </c>
      <c r="Z36" s="29">
        <f t="shared" ca="1" si="1"/>
        <v>1278092.5428405006</v>
      </c>
      <c r="AD36" s="11" t="s">
        <v>1154</v>
      </c>
      <c r="AG36" s="11">
        <v>820533.87359999993</v>
      </c>
      <c r="AH36" s="11">
        <v>53021.318145426572</v>
      </c>
      <c r="AI36" s="11">
        <v>1090412.4578405006</v>
      </c>
      <c r="AJ36" s="11">
        <f t="shared" si="4"/>
        <v>0</v>
      </c>
      <c r="AM36" s="30">
        <v>2436</v>
      </c>
    </row>
    <row r="37" spans="1:43" s="11" customFormat="1" x14ac:dyDescent="0.2">
      <c r="A37" s="9" t="s">
        <v>40</v>
      </c>
      <c r="B37" s="26">
        <v>2452</v>
      </c>
      <c r="C37" s="11">
        <f>VLOOKUP(B37,AWPU!$B$7:'AWPU'!$N$78,13,FALSE)</f>
        <v>515710.38340000005</v>
      </c>
      <c r="D37" s="11">
        <f>VLOOKUP(B37,DEP!$B$6:'DEP'!$O$101,14,FALSE)</f>
        <v>119577.55712716958</v>
      </c>
      <c r="E37" s="11">
        <f>VLOOKUP(B37,LAC!$B$7:'LAC'!$D$102,3,FALSE)</f>
        <v>0</v>
      </c>
      <c r="F37" s="11">
        <f>VLOOKUP(B37,LCHI!$B$7:'LCHI'!$D$102,3,FALSE)</f>
        <v>0</v>
      </c>
      <c r="G37" s="11">
        <f>VLOOKUP(B37,EAL!$B$7:'EAL'!$G$101,6,FALSE)</f>
        <v>9766.0015593220269</v>
      </c>
      <c r="H37" s="11">
        <f>VLOOKUP(B37,MOB!$B$7:'MOB'!$G$101,6,FALSE)</f>
        <v>0</v>
      </c>
      <c r="I37" s="11">
        <f>VLOOKUP(B37,'LUMP SUM'!$B$7:$C$101,2,FALSE)</f>
        <v>100000</v>
      </c>
      <c r="J37" s="11">
        <f>VLOOKUP(B37,'SPLIT SITE'!$B$7:'SPLIT SITE'!$C$101,2,FALSE)</f>
        <v>0</v>
      </c>
      <c r="K37" s="11">
        <f>VLOOKUP(B37,RATES!$D$8:'RATES'!$E$116,2,FALSE)</f>
        <v>-3597.1400000000012</v>
      </c>
      <c r="L37" s="11">
        <f>VLOOKUP(B37,PFI!$B$7:'PFI'!$C$102,2,FALSE)</f>
        <v>0</v>
      </c>
      <c r="M37" s="29">
        <f t="shared" si="0"/>
        <v>741456.8020864916</v>
      </c>
      <c r="N37" s="11">
        <f>SUMIF('2015-16 MFG'!B:B,B37,'2015-16 MFG'!W:W)</f>
        <v>0</v>
      </c>
      <c r="O37" s="11">
        <f>SUMIF('2015-16 MFG'!B:B,B37,'2015-16 MFG'!AC:AC)</f>
        <v>0</v>
      </c>
      <c r="P37" s="29">
        <f t="shared" si="2"/>
        <v>741456.8020864916</v>
      </c>
      <c r="Q37" s="11">
        <f ca="1">VLOOKUP(B37,'DE-DEL'!$B$7:'DE-DEL'!$N$101,13,FALSE)</f>
        <v>-15481.28</v>
      </c>
      <c r="R37" s="29">
        <f t="shared" ca="1" si="3"/>
        <v>725975.52208649158</v>
      </c>
      <c r="S37" s="11">
        <v>10675</v>
      </c>
      <c r="T37" s="11">
        <v>0</v>
      </c>
      <c r="U37" s="11">
        <v>23275.1875</v>
      </c>
      <c r="V37" s="11">
        <v>0</v>
      </c>
      <c r="W37" s="11">
        <v>0</v>
      </c>
      <c r="X37" s="11">
        <v>68289.098992720363</v>
      </c>
      <c r="Y37" s="11">
        <v>0</v>
      </c>
      <c r="Z37" s="29">
        <f t="shared" ca="1" si="1"/>
        <v>828214.80857921194</v>
      </c>
      <c r="AD37" s="11" t="s">
        <v>1155</v>
      </c>
      <c r="AG37" s="11">
        <v>493297.15019999997</v>
      </c>
      <c r="AH37" s="11">
        <v>12789.251012276625</v>
      </c>
      <c r="AI37" s="11">
        <v>731832.81989876821</v>
      </c>
      <c r="AJ37" s="11">
        <f t="shared" si="4"/>
        <v>9623.9821877233917</v>
      </c>
      <c r="AM37" s="30">
        <v>2452</v>
      </c>
      <c r="AP37" s="30"/>
      <c r="AQ37" s="30"/>
    </row>
    <row r="38" spans="1:43" s="11" customFormat="1" x14ac:dyDescent="0.2">
      <c r="A38" s="9" t="s">
        <v>41</v>
      </c>
      <c r="B38" s="26">
        <v>2627</v>
      </c>
      <c r="C38" s="11">
        <f>VLOOKUP(B38,AWPU!$B$7:'AWPU'!$N$78,13,FALSE)</f>
        <v>1000784.5064000001</v>
      </c>
      <c r="D38" s="11">
        <f>VLOOKUP(B38,DEP!$B$6:'DEP'!$O$101,14,FALSE)</f>
        <v>42400.473428377605</v>
      </c>
      <c r="E38" s="11">
        <f>VLOOKUP(B38,LAC!$B$7:'LAC'!$D$102,3,FALSE)</f>
        <v>0</v>
      </c>
      <c r="F38" s="11">
        <f>VLOOKUP(B38,LCHI!$B$7:'LCHI'!$D$102,3,FALSE)</f>
        <v>0</v>
      </c>
      <c r="G38" s="11">
        <f>VLOOKUP(B38,EAL!$B$7:'EAL'!$G$101,6,FALSE)</f>
        <v>33342.688062650603</v>
      </c>
      <c r="H38" s="11">
        <f>VLOOKUP(B38,MOB!$B$7:'MOB'!$G$101,6,FALSE)</f>
        <v>0</v>
      </c>
      <c r="I38" s="11">
        <f>VLOOKUP(B38,'LUMP SUM'!$B$7:$C$101,2,FALSE)</f>
        <v>100000</v>
      </c>
      <c r="J38" s="11">
        <f>VLOOKUP(B38,'SPLIT SITE'!$B$7:'SPLIT SITE'!$C$101,2,FALSE)</f>
        <v>0</v>
      </c>
      <c r="K38" s="11">
        <f>VLOOKUP(B38,RATES!$D$8:'RATES'!$E$116,2,FALSE)</f>
        <v>4566.6500000000015</v>
      </c>
      <c r="L38" s="11">
        <f>VLOOKUP(B38,PFI!$B$7:'PFI'!$C$102,2,FALSE)</f>
        <v>0</v>
      </c>
      <c r="M38" s="29">
        <f t="shared" si="0"/>
        <v>1181094.3178910282</v>
      </c>
      <c r="N38" s="11">
        <f>SUMIF('2015-16 MFG'!B:B,B38,'2015-16 MFG'!W:W)</f>
        <v>0</v>
      </c>
      <c r="O38" s="11">
        <f>SUMIF('2015-16 MFG'!B:B,B38,'2015-16 MFG'!AC:AC)</f>
        <v>0</v>
      </c>
      <c r="P38" s="29">
        <f t="shared" si="2"/>
        <v>1181094.3178910282</v>
      </c>
      <c r="Q38" s="11">
        <f ca="1">VLOOKUP(B38,'DE-DEL'!$B$7:'DE-DEL'!$N$101,13,FALSE)</f>
        <v>-30042.880000000001</v>
      </c>
      <c r="R38" s="29">
        <f t="shared" ca="1" si="3"/>
        <v>1151051.4378910284</v>
      </c>
      <c r="S38" s="11">
        <v>10000</v>
      </c>
      <c r="T38" s="11">
        <v>0</v>
      </c>
      <c r="U38" s="11">
        <v>12013</v>
      </c>
      <c r="V38" s="11">
        <v>0</v>
      </c>
      <c r="W38" s="11">
        <v>0</v>
      </c>
      <c r="X38" s="11">
        <v>0</v>
      </c>
      <c r="Y38" s="11">
        <v>0</v>
      </c>
      <c r="Z38" s="29">
        <f t="shared" ca="1" si="1"/>
        <v>1173064.4378910284</v>
      </c>
      <c r="AD38" s="11" t="s">
        <v>1156</v>
      </c>
      <c r="AG38" s="11">
        <v>957289.51919999998</v>
      </c>
      <c r="AH38" s="11">
        <v>6738.9504730963381</v>
      </c>
      <c r="AI38" s="11">
        <v>1144338.2811641246</v>
      </c>
      <c r="AJ38" s="11">
        <f t="shared" si="4"/>
        <v>36756.036726903636</v>
      </c>
      <c r="AM38" s="30">
        <v>2627</v>
      </c>
    </row>
    <row r="39" spans="1:43" s="11" customFormat="1" x14ac:dyDescent="0.2">
      <c r="A39" s="9" t="s">
        <v>42</v>
      </c>
      <c r="B39" s="26">
        <v>2009</v>
      </c>
      <c r="C39" s="11">
        <f>VLOOKUP(B39,AWPU!$B$7:'AWPU'!$N$78,13,FALSE)</f>
        <v>725058.16280000005</v>
      </c>
      <c r="D39" s="11">
        <f>VLOOKUP(B39,DEP!$B$6:'DEP'!$O$101,14,FALSE)</f>
        <v>300945.38695580547</v>
      </c>
      <c r="E39" s="11">
        <f>VLOOKUP(B39,LAC!$B$7:'LAC'!$D$102,3,FALSE)</f>
        <v>0</v>
      </c>
      <c r="F39" s="11">
        <f>VLOOKUP(B39,LCHI!$B$7:'LCHI'!$D$102,3,FALSE)</f>
        <v>0</v>
      </c>
      <c r="G39" s="11">
        <f>VLOOKUP(B39,EAL!$B$7:'EAL'!$G$101,6,FALSE)</f>
        <v>15578.743538461538</v>
      </c>
      <c r="H39" s="11">
        <f>VLOOKUP(B39,MOB!$B$7:'MOB'!$G$101,6,FALSE)</f>
        <v>0</v>
      </c>
      <c r="I39" s="11">
        <f>VLOOKUP(B39,'LUMP SUM'!$B$7:$C$101,2,FALSE)</f>
        <v>100000</v>
      </c>
      <c r="J39" s="11">
        <f>VLOOKUP(B39,'SPLIT SITE'!$B$7:'SPLIT SITE'!$C$101,2,FALSE)</f>
        <v>0</v>
      </c>
      <c r="K39" s="11">
        <f>VLOOKUP(B39,RATES!$D$8:'RATES'!$E$116,2,FALSE)</f>
        <v>2415.6999999999989</v>
      </c>
      <c r="L39" s="11">
        <f>VLOOKUP(B39,PFI!$B$7:'PFI'!$C$102,2,FALSE)</f>
        <v>0</v>
      </c>
      <c r="M39" s="29">
        <f t="shared" si="0"/>
        <v>1143997.993294267</v>
      </c>
      <c r="N39" s="11">
        <f>SUMIF('2015-16 MFG'!B:B,B39,'2015-16 MFG'!W:W)</f>
        <v>0</v>
      </c>
      <c r="O39" s="11">
        <f>SUMIF('2015-16 MFG'!B:B,B39,'2015-16 MFG'!AC:AC)</f>
        <v>0</v>
      </c>
      <c r="P39" s="29">
        <f t="shared" si="2"/>
        <v>1143997.993294267</v>
      </c>
      <c r="Q39" s="11">
        <f>VLOOKUP(B39,'DE-DEL'!$B$7:'DE-DEL'!$N$101,13,FALSE)</f>
        <v>0</v>
      </c>
      <c r="R39" s="29">
        <f t="shared" si="3"/>
        <v>1143997.993294267</v>
      </c>
      <c r="S39" s="11">
        <v>31565</v>
      </c>
      <c r="T39" s="11">
        <v>0</v>
      </c>
      <c r="U39" s="11">
        <v>1251.3541666666667</v>
      </c>
      <c r="V39" s="11">
        <v>0</v>
      </c>
      <c r="W39" s="11">
        <v>0</v>
      </c>
      <c r="X39" s="11">
        <v>0</v>
      </c>
      <c r="Y39" s="11">
        <v>0</v>
      </c>
      <c r="Z39" s="29">
        <f t="shared" si="1"/>
        <v>1176814.3474609337</v>
      </c>
      <c r="AD39" s="11" t="s">
        <v>1157</v>
      </c>
      <c r="AG39" s="11">
        <v>693546.48839999991</v>
      </c>
      <c r="AH39" s="11">
        <v>0</v>
      </c>
      <c r="AI39" s="11">
        <v>1112486.3188942668</v>
      </c>
      <c r="AJ39" s="11">
        <f t="shared" si="4"/>
        <v>31511.674400000134</v>
      </c>
      <c r="AM39" s="30">
        <v>2009</v>
      </c>
    </row>
    <row r="40" spans="1:43" s="11" customFormat="1" x14ac:dyDescent="0.2">
      <c r="A40" s="9" t="s">
        <v>101</v>
      </c>
      <c r="B40" s="26">
        <v>2473</v>
      </c>
      <c r="C40" s="11">
        <f>VLOOKUP(B40,AWPU!$B$7:'AWPU'!$N$78,13,FALSE)</f>
        <v>686762.83730000001</v>
      </c>
      <c r="D40" s="11">
        <f>VLOOKUP(B40,DEP!$B$6:'DEP'!$O$101,14,FALSE)</f>
        <v>190719.58603943547</v>
      </c>
      <c r="E40" s="11">
        <f>VLOOKUP(B40,LAC!$B$7:'LAC'!$D$102,3,FALSE)</f>
        <v>0</v>
      </c>
      <c r="F40" s="11">
        <f>VLOOKUP(B40,LCHI!$B$7:'LCHI'!$D$102,3,FALSE)</f>
        <v>0</v>
      </c>
      <c r="G40" s="11">
        <f>VLOOKUP(B40,EAL!$B$7:'EAL'!$G$101,6,FALSE)</f>
        <v>1278.8466233333343</v>
      </c>
      <c r="H40" s="11">
        <f>VLOOKUP(B40,MOB!$B$7:'MOB'!$G$101,6,FALSE)</f>
        <v>0</v>
      </c>
      <c r="I40" s="11">
        <f>VLOOKUP(B40,'LUMP SUM'!$B$7:$C$101,2,FALSE)</f>
        <v>100000</v>
      </c>
      <c r="J40" s="11">
        <f>VLOOKUP(B40,'SPLIT SITE'!$B$7:'SPLIT SITE'!$C$101,2,FALSE)</f>
        <v>0</v>
      </c>
      <c r="K40" s="11">
        <f>VLOOKUP(B40,RATES!$D$8:'RATES'!$E$116,2,FALSE)</f>
        <v>-2183.8050000000003</v>
      </c>
      <c r="L40" s="11">
        <f>VLOOKUP(B40,PFI!$B$7:'PFI'!$C$102,2,FALSE)</f>
        <v>0</v>
      </c>
      <c r="M40" s="29">
        <f t="shared" si="0"/>
        <v>976577.46496276872</v>
      </c>
      <c r="N40" s="11">
        <f>SUMIF('2015-16 MFG'!B:B,B40,'2015-16 MFG'!W:W)</f>
        <v>0</v>
      </c>
      <c r="O40" s="11">
        <f>SUMIF('2015-16 MFG'!B:B,B40,'2015-16 MFG'!AC:AC)</f>
        <v>0</v>
      </c>
      <c r="P40" s="29">
        <f t="shared" si="2"/>
        <v>976577.46496276872</v>
      </c>
      <c r="Q40" s="11">
        <f ca="1">VLOOKUP(B40,'DE-DEL'!$B$7:'DE-DEL'!$N$101,13,FALSE)</f>
        <v>-20616.16</v>
      </c>
      <c r="R40" s="29">
        <f t="shared" ca="1" si="3"/>
        <v>955961.30496276869</v>
      </c>
      <c r="S40" s="11">
        <v>16135</v>
      </c>
      <c r="T40" s="11">
        <v>0</v>
      </c>
      <c r="U40" s="11">
        <v>11512.458333333334</v>
      </c>
      <c r="V40" s="11">
        <v>0</v>
      </c>
      <c r="W40" s="11">
        <v>0</v>
      </c>
      <c r="X40" s="11">
        <v>167851.72674904519</v>
      </c>
      <c r="Y40" s="11">
        <v>0</v>
      </c>
      <c r="Z40" s="29">
        <f t="shared" ca="1" si="1"/>
        <v>1151460.4900451472</v>
      </c>
      <c r="AD40" s="11" t="s">
        <v>1158</v>
      </c>
      <c r="AG40" s="11">
        <v>656915.51189999992</v>
      </c>
      <c r="AH40" s="11">
        <v>21625.553709769505</v>
      </c>
      <c r="AI40" s="11">
        <v>968355.69327253813</v>
      </c>
      <c r="AJ40" s="11">
        <f t="shared" si="4"/>
        <v>8221.7716902305838</v>
      </c>
      <c r="AM40" s="30">
        <v>2473</v>
      </c>
    </row>
    <row r="41" spans="1:43" s="11" customFormat="1" x14ac:dyDescent="0.2">
      <c r="A41" s="9" t="s">
        <v>44</v>
      </c>
      <c r="B41" s="26">
        <v>2471</v>
      </c>
      <c r="C41" s="11">
        <f>VLOOKUP(B41,AWPU!$B$7:'AWPU'!$N$78,13,FALSE)</f>
        <v>893557.59500000009</v>
      </c>
      <c r="D41" s="11">
        <f>VLOOKUP(B41,DEP!$B$6:'DEP'!$O$101,14,FALSE)</f>
        <v>260625.69408883888</v>
      </c>
      <c r="E41" s="11">
        <f>VLOOKUP(B41,LAC!$B$7:'LAC'!$D$102,3,FALSE)</f>
        <v>1368.8608236994216</v>
      </c>
      <c r="F41" s="11">
        <f>VLOOKUP(B41,LCHI!$B$7:'LCHI'!$D$102,3,FALSE)</f>
        <v>0</v>
      </c>
      <c r="G41" s="11">
        <f>VLOOKUP(B41,EAL!$B$7:'EAL'!$G$101,6,FALSE)</f>
        <v>2581.9554310344815</v>
      </c>
      <c r="H41" s="11">
        <f>VLOOKUP(B41,MOB!$B$7:'MOB'!$G$101,6,FALSE)</f>
        <v>0</v>
      </c>
      <c r="I41" s="11">
        <f>VLOOKUP(B41,'LUMP SUM'!$B$7:$C$101,2,FALSE)</f>
        <v>100000</v>
      </c>
      <c r="J41" s="11">
        <f>VLOOKUP(B41,'SPLIT SITE'!$B$7:'SPLIT SITE'!$C$101,2,FALSE)</f>
        <v>0</v>
      </c>
      <c r="K41" s="11">
        <f>VLOOKUP(B41,RATES!$D$8:'RATES'!$E$116,2,FALSE)</f>
        <v>-2183.8050000000003</v>
      </c>
      <c r="L41" s="11">
        <f>VLOOKUP(B41,PFI!$B$7:'PFI'!$C$102,2,FALSE)</f>
        <v>0</v>
      </c>
      <c r="M41" s="29">
        <f t="shared" si="0"/>
        <v>1255950.3003435731</v>
      </c>
      <c r="N41" s="11">
        <f>SUMIF('2015-16 MFG'!B:B,B41,'2015-16 MFG'!W:W)</f>
        <v>0</v>
      </c>
      <c r="O41" s="11">
        <f>SUMIF('2015-16 MFG'!B:B,B41,'2015-16 MFG'!AC:AC)</f>
        <v>0</v>
      </c>
      <c r="P41" s="29">
        <f t="shared" si="2"/>
        <v>1255950.3003435731</v>
      </c>
      <c r="Q41" s="11">
        <f ca="1">VLOOKUP(B41,'DE-DEL'!$B$7:'DE-DEL'!$N$101,13,FALSE)</f>
        <v>-26824</v>
      </c>
      <c r="R41" s="29">
        <f t="shared" ca="1" si="3"/>
        <v>1229126.3003435731</v>
      </c>
      <c r="S41" s="11">
        <v>0</v>
      </c>
      <c r="T41" s="11">
        <v>0</v>
      </c>
      <c r="U41" s="11">
        <v>50304.4375</v>
      </c>
      <c r="V41" s="11">
        <v>0</v>
      </c>
      <c r="W41" s="11">
        <v>0</v>
      </c>
      <c r="X41" s="11">
        <v>0</v>
      </c>
      <c r="Y41" s="11">
        <v>0</v>
      </c>
      <c r="Z41" s="29">
        <f t="shared" ca="1" si="1"/>
        <v>1279430.7378435731</v>
      </c>
      <c r="AD41" s="11" t="s">
        <v>1159</v>
      </c>
      <c r="AG41" s="11">
        <v>854722.78499999992</v>
      </c>
      <c r="AH41" s="11">
        <v>1510.7434664503671</v>
      </c>
      <c r="AI41" s="11">
        <v>1218626.2338100232</v>
      </c>
      <c r="AJ41" s="11">
        <f t="shared" si="4"/>
        <v>37324.066533549922</v>
      </c>
      <c r="AM41" s="30">
        <v>2471</v>
      </c>
    </row>
    <row r="42" spans="1:43" s="11" customFormat="1" x14ac:dyDescent="0.2">
      <c r="A42" s="9" t="s">
        <v>43</v>
      </c>
      <c r="B42" s="26">
        <v>2420</v>
      </c>
      <c r="C42" s="11">
        <f>VLOOKUP(B42,AWPU!$B$7:'AWPU'!$N$78,13,FALSE)</f>
        <v>1284169.9151000001</v>
      </c>
      <c r="D42" s="11">
        <f>VLOOKUP(B42,DEP!$B$6:'DEP'!$O$101,14,FALSE)</f>
        <v>711034.55027346476</v>
      </c>
      <c r="E42" s="11">
        <f>VLOOKUP(B42,LAC!$B$7:'LAC'!$D$102,3,FALSE)</f>
        <v>4353.9530923240936</v>
      </c>
      <c r="F42" s="11">
        <f>VLOOKUP(B42,LCHI!$B$7:'LCHI'!$D$102,3,FALSE)</f>
        <v>0</v>
      </c>
      <c r="G42" s="11">
        <f>VLOOKUP(B42,EAL!$B$7:'EAL'!$G$101,6,FALSE)</f>
        <v>134188.08916546774</v>
      </c>
      <c r="H42" s="11">
        <f>VLOOKUP(B42,MOB!$B$7:'MOB'!$G$101,6,FALSE)</f>
        <v>63223.136000000188</v>
      </c>
      <c r="I42" s="11">
        <f>VLOOKUP(B42,'LUMP SUM'!$B$7:$C$101,2,FALSE)</f>
        <v>100000</v>
      </c>
      <c r="J42" s="11">
        <f>VLOOKUP(B42,'SPLIT SITE'!$B$7:'SPLIT SITE'!$C$101,2,FALSE)</f>
        <v>0</v>
      </c>
      <c r="K42" s="11">
        <f>VLOOKUP(B42,RATES!$D$8:'RATES'!$E$116,2,FALSE)</f>
        <v>8236.75</v>
      </c>
      <c r="L42" s="11">
        <f>VLOOKUP(B42,PFI!$B$7:'PFI'!$C$102,2,FALSE)</f>
        <v>0</v>
      </c>
      <c r="M42" s="29">
        <f t="shared" si="0"/>
        <v>2305206.3936312571</v>
      </c>
      <c r="N42" s="11">
        <f>SUMIF('2015-16 MFG'!B:B,B42,'2015-16 MFG'!W:W)</f>
        <v>0</v>
      </c>
      <c r="O42" s="11">
        <f>SUMIF('2015-16 MFG'!B:B,B42,'2015-16 MFG'!AC:AC)</f>
        <v>0</v>
      </c>
      <c r="P42" s="29">
        <f t="shared" si="2"/>
        <v>2305206.3936312571</v>
      </c>
      <c r="Q42" s="11">
        <f ca="1">VLOOKUP(B42,'DE-DEL'!$B$7:'DE-DEL'!$N$101,13,FALSE)</f>
        <v>-38549.919999999998</v>
      </c>
      <c r="R42" s="29">
        <f t="shared" ca="1" si="3"/>
        <v>2266656.4736312572</v>
      </c>
      <c r="S42" s="11">
        <v>18405</v>
      </c>
      <c r="T42" s="11">
        <v>0</v>
      </c>
      <c r="U42" s="11">
        <v>13514.625</v>
      </c>
      <c r="V42" s="11">
        <v>0</v>
      </c>
      <c r="W42" s="11">
        <v>0</v>
      </c>
      <c r="X42" s="11">
        <v>197654.68775552307</v>
      </c>
      <c r="Y42" s="11">
        <v>0</v>
      </c>
      <c r="Z42" s="29">
        <f t="shared" ca="1" si="1"/>
        <v>2496230.7863867804</v>
      </c>
      <c r="AD42" s="11" t="s">
        <v>1160</v>
      </c>
      <c r="AG42" s="11">
        <v>1228358.7452999998</v>
      </c>
      <c r="AH42" s="11">
        <v>0</v>
      </c>
      <c r="AI42" s="11">
        <v>2249395.2238312569</v>
      </c>
      <c r="AJ42" s="11">
        <f t="shared" si="4"/>
        <v>55811.169800000265</v>
      </c>
      <c r="AM42" s="30">
        <v>2420</v>
      </c>
    </row>
    <row r="43" spans="1:43" s="11" customFormat="1" x14ac:dyDescent="0.2">
      <c r="A43" s="9" t="s">
        <v>45</v>
      </c>
      <c r="B43" s="26">
        <v>2003</v>
      </c>
      <c r="C43" s="11">
        <f>VLOOKUP(B43,AWPU!$B$7:'AWPU'!$N$78,13,FALSE)</f>
        <v>543793.62210000004</v>
      </c>
      <c r="D43" s="11">
        <f>VLOOKUP(B43,DEP!$B$6:'DEP'!$O$101,14,FALSE)</f>
        <v>16018.565080571685</v>
      </c>
      <c r="E43" s="11">
        <f>VLOOKUP(B43,LAC!$B$7:'LAC'!$D$102,3,FALSE)</f>
        <v>1366.0433985781992</v>
      </c>
      <c r="F43" s="11">
        <f>VLOOKUP(B43,LCHI!$B$7:'LCHI'!$D$102,3,FALSE)</f>
        <v>0</v>
      </c>
      <c r="G43" s="11">
        <f>VLOOKUP(B43,EAL!$B$7:'EAL'!$G$101,6,FALSE)</f>
        <v>0</v>
      </c>
      <c r="H43" s="11">
        <f>VLOOKUP(B43,MOB!$B$7:'MOB'!$G$101,6,FALSE)</f>
        <v>0</v>
      </c>
      <c r="I43" s="11">
        <f>VLOOKUP(B43,'LUMP SUM'!$B$7:$C$101,2,FALSE)</f>
        <v>100000</v>
      </c>
      <c r="J43" s="11">
        <f>VLOOKUP(B43,'SPLIT SITE'!$B$7:'SPLIT SITE'!$C$101,2,FALSE)</f>
        <v>0</v>
      </c>
      <c r="K43" s="11">
        <f>VLOOKUP(B43,RATES!$D$8:'RATES'!$E$116,2,FALSE)</f>
        <v>9766.52</v>
      </c>
      <c r="L43" s="11">
        <f>VLOOKUP(B43,PFI!$B$7:'PFI'!$C$102,2,FALSE)</f>
        <v>0</v>
      </c>
      <c r="M43" s="29">
        <f t="shared" si="0"/>
        <v>670944.75057914993</v>
      </c>
      <c r="N43" s="11">
        <f>SUMIF('2015-16 MFG'!B:B,B43,'2015-16 MFG'!W:W)</f>
        <v>0</v>
      </c>
      <c r="O43" s="11">
        <f>SUMIF('2015-16 MFG'!B:B,B43,'2015-16 MFG'!AC:AC)</f>
        <v>0</v>
      </c>
      <c r="P43" s="29">
        <f t="shared" si="2"/>
        <v>670944.75057914993</v>
      </c>
      <c r="Q43" s="11">
        <f ca="1">VLOOKUP(B43,'DE-DEL'!$B$7:'DE-DEL'!$N$101,13,FALSE)</f>
        <v>-16324.32</v>
      </c>
      <c r="R43" s="29">
        <f t="shared" ca="1" si="3"/>
        <v>654620.43057914998</v>
      </c>
      <c r="S43" s="11">
        <v>5000</v>
      </c>
      <c r="T43" s="11">
        <v>0</v>
      </c>
      <c r="U43" s="11">
        <v>6006.5</v>
      </c>
      <c r="V43" s="11">
        <v>0</v>
      </c>
      <c r="W43" s="11">
        <v>0</v>
      </c>
      <c r="X43" s="11">
        <v>96117.29985131236</v>
      </c>
      <c r="Y43" s="11">
        <v>0</v>
      </c>
      <c r="Z43" s="29">
        <f t="shared" ca="1" si="1"/>
        <v>761744.2304304624</v>
      </c>
      <c r="AD43" s="11" t="s">
        <v>1161</v>
      </c>
      <c r="AG43" s="11">
        <v>520159.86629999994</v>
      </c>
      <c r="AH43" s="11">
        <v>0</v>
      </c>
      <c r="AI43" s="11">
        <v>647310.99477914977</v>
      </c>
      <c r="AJ43" s="11">
        <f t="shared" si="4"/>
        <v>23633.755800000159</v>
      </c>
      <c r="AM43" s="30">
        <v>2003</v>
      </c>
    </row>
    <row r="44" spans="1:43" s="11" customFormat="1" x14ac:dyDescent="0.2">
      <c r="A44" s="9" t="s">
        <v>46</v>
      </c>
      <c r="B44" s="26">
        <v>2423</v>
      </c>
      <c r="C44" s="11">
        <f>VLOOKUP(B44,AWPU!$B$7:'AWPU'!$N$78,13,FALSE)</f>
        <v>850156.22610000009</v>
      </c>
      <c r="D44" s="11">
        <f>VLOOKUP(B44,DEP!$B$6:'DEP'!$O$101,14,FALSE)</f>
        <v>346086.80570744746</v>
      </c>
      <c r="E44" s="11">
        <f>VLOOKUP(B44,LAC!$B$7:'LAC'!$D$102,3,FALSE)</f>
        <v>2510.4242958217269</v>
      </c>
      <c r="F44" s="11">
        <f>VLOOKUP(B44,LCHI!$B$7:'LCHI'!$D$102,3,FALSE)</f>
        <v>0</v>
      </c>
      <c r="G44" s="11">
        <f>VLOOKUP(B44,EAL!$B$7:'EAL'!$G$101,6,FALSE)</f>
        <v>106092.56001046144</v>
      </c>
      <c r="H44" s="11">
        <f>VLOOKUP(B44,MOB!$B$7:'MOB'!$G$101,6,FALSE)</f>
        <v>23633.695999999942</v>
      </c>
      <c r="I44" s="11">
        <f>VLOOKUP(B44,'LUMP SUM'!$B$7:$C$101,2,FALSE)</f>
        <v>100000</v>
      </c>
      <c r="J44" s="11">
        <f>VLOOKUP(B44,'SPLIT SITE'!$B$7:'SPLIT SITE'!$C$101,2,FALSE)</f>
        <v>0</v>
      </c>
      <c r="K44" s="11">
        <f>VLOOKUP(B44,RATES!$D$8:'RATES'!$E$116,2,FALSE)</f>
        <v>2873.6800000000012</v>
      </c>
      <c r="L44" s="11">
        <f>VLOOKUP(B44,PFI!$B$7:'PFI'!$C$102,2,FALSE)</f>
        <v>0</v>
      </c>
      <c r="M44" s="29">
        <f t="shared" si="0"/>
        <v>1431353.3921137305</v>
      </c>
      <c r="N44" s="11">
        <f>SUMIF('2015-16 MFG'!B:B,B44,'2015-16 MFG'!W:W)</f>
        <v>97946.416269480018</v>
      </c>
      <c r="O44" s="11">
        <f>SUMIF('2015-16 MFG'!B:B,B44,'2015-16 MFG'!AC:AC)</f>
        <v>0</v>
      </c>
      <c r="P44" s="29">
        <f t="shared" si="2"/>
        <v>1529299.8083832106</v>
      </c>
      <c r="Q44" s="11">
        <f ca="1">VLOOKUP(B44,'DE-DEL'!$B$7:'DE-DEL'!$N$101,13,FALSE)</f>
        <v>-25521.119999999999</v>
      </c>
      <c r="R44" s="29">
        <f t="shared" ca="1" si="3"/>
        <v>1503778.6883832105</v>
      </c>
      <c r="S44" s="11">
        <v>0</v>
      </c>
      <c r="T44" s="11">
        <v>0</v>
      </c>
      <c r="U44" s="11">
        <v>0</v>
      </c>
      <c r="V44" s="11">
        <v>0</v>
      </c>
      <c r="W44" s="11">
        <v>0</v>
      </c>
      <c r="X44" s="11">
        <v>0</v>
      </c>
      <c r="Y44" s="11">
        <v>0</v>
      </c>
      <c r="Z44" s="29">
        <f t="shared" ca="1" si="1"/>
        <v>1503778.6883832105</v>
      </c>
      <c r="AD44" s="11" t="s">
        <v>1163</v>
      </c>
      <c r="AG44" s="11">
        <v>813207.67829999991</v>
      </c>
      <c r="AH44" s="11">
        <v>134894.96406948008</v>
      </c>
      <c r="AI44" s="11">
        <v>1529299.8083832106</v>
      </c>
      <c r="AJ44" s="11">
        <f t="shared" si="4"/>
        <v>0</v>
      </c>
      <c r="AM44" s="30">
        <v>2423</v>
      </c>
    </row>
    <row r="45" spans="1:43" s="11" customFormat="1" x14ac:dyDescent="0.2">
      <c r="A45" s="9" t="s">
        <v>47</v>
      </c>
      <c r="B45" s="26">
        <v>2424</v>
      </c>
      <c r="C45" s="11">
        <f>VLOOKUP(B45,AWPU!$B$7:'AWPU'!$N$78,13,FALSE)</f>
        <v>689315.85900000005</v>
      </c>
      <c r="D45" s="11">
        <f>VLOOKUP(B45,DEP!$B$6:'DEP'!$O$101,14,FALSE)</f>
        <v>253000.35930579228</v>
      </c>
      <c r="E45" s="11">
        <f>VLOOKUP(B45,LAC!$B$7:'LAC'!$D$102,3,FALSE)</f>
        <v>1348.2232804428043</v>
      </c>
      <c r="F45" s="11">
        <f>VLOOKUP(B45,LCHI!$B$7:'LCHI'!$D$102,3,FALSE)</f>
        <v>0</v>
      </c>
      <c r="G45" s="11">
        <f>VLOOKUP(B45,EAL!$B$7:'EAL'!$G$101,6,FALSE)</f>
        <v>165409.45384090912</v>
      </c>
      <c r="H45" s="11">
        <f>VLOOKUP(B45,MOB!$B$7:'MOB'!$G$101,6,FALSE)</f>
        <v>0</v>
      </c>
      <c r="I45" s="11">
        <f>VLOOKUP(B45,'LUMP SUM'!$B$7:$C$101,2,FALSE)</f>
        <v>100000</v>
      </c>
      <c r="J45" s="11">
        <f>VLOOKUP(B45,'SPLIT SITE'!$B$7:'SPLIT SITE'!$C$101,2,FALSE)</f>
        <v>0</v>
      </c>
      <c r="K45" s="11">
        <f>VLOOKUP(B45,RATES!$D$8:'RATES'!$E$116,2,FALSE)</f>
        <v>2873.6800000000012</v>
      </c>
      <c r="L45" s="11">
        <f>VLOOKUP(B45,PFI!$B$7:'PFI'!$C$102,2,FALSE)</f>
        <v>0</v>
      </c>
      <c r="M45" s="29">
        <f t="shared" si="0"/>
        <v>1211947.5754271441</v>
      </c>
      <c r="N45" s="11">
        <f>SUMIF('2015-16 MFG'!B:B,B45,'2015-16 MFG'!W:W)</f>
        <v>92226.222356675193</v>
      </c>
      <c r="O45" s="11">
        <f>SUMIF('2015-16 MFG'!B:B,B45,'2015-16 MFG'!AC:AC)</f>
        <v>0</v>
      </c>
      <c r="P45" s="29">
        <f t="shared" si="2"/>
        <v>1304173.7977838193</v>
      </c>
      <c r="Q45" s="11">
        <f ca="1">VLOOKUP(B45,'DE-DEL'!$B$7:'DE-DEL'!$N$101,13,FALSE)</f>
        <v>-20692.8</v>
      </c>
      <c r="R45" s="29">
        <f t="shared" ca="1" si="3"/>
        <v>1283480.9977838192</v>
      </c>
      <c r="S45" s="11">
        <v>15000</v>
      </c>
      <c r="T45" s="11">
        <v>0</v>
      </c>
      <c r="U45" s="11">
        <v>0</v>
      </c>
      <c r="V45" s="11">
        <v>0</v>
      </c>
      <c r="W45" s="11">
        <v>0</v>
      </c>
      <c r="X45" s="11">
        <v>0</v>
      </c>
      <c r="Y45" s="11">
        <v>0</v>
      </c>
      <c r="Z45" s="29">
        <f t="shared" ca="1" si="1"/>
        <v>1298480.9977838192</v>
      </c>
      <c r="AD45" s="11" t="s">
        <v>1164</v>
      </c>
      <c r="AG45" s="11">
        <v>659357.57699999993</v>
      </c>
      <c r="AH45" s="11">
        <v>122184.50435667532</v>
      </c>
      <c r="AI45" s="11">
        <v>1304173.7977838193</v>
      </c>
      <c r="AJ45" s="11">
        <f t="shared" si="4"/>
        <v>0</v>
      </c>
      <c r="AM45" s="30">
        <v>2424</v>
      </c>
    </row>
    <row r="46" spans="1:43" s="11" customFormat="1" x14ac:dyDescent="0.2">
      <c r="A46" s="9" t="s">
        <v>48</v>
      </c>
      <c r="B46" s="26">
        <v>2439</v>
      </c>
      <c r="C46" s="11">
        <f>VLOOKUP(B46,AWPU!$B$7:'AWPU'!$N$78,13,FALSE)</f>
        <v>653573.55520000006</v>
      </c>
      <c r="D46" s="11">
        <f>VLOOKUP(B46,DEP!$B$6:'DEP'!$O$101,14,FALSE)</f>
        <v>27619.666925379875</v>
      </c>
      <c r="E46" s="11">
        <f>VLOOKUP(B46,LAC!$B$7:'LAC'!$D$102,3,FALSE)</f>
        <v>0</v>
      </c>
      <c r="F46" s="11">
        <f>VLOOKUP(B46,LCHI!$B$7:'LCHI'!$D$102,3,FALSE)</f>
        <v>0</v>
      </c>
      <c r="G46" s="11">
        <f>VLOOKUP(B46,EAL!$B$7:'EAL'!$G$101,6,FALSE)</f>
        <v>11877.17274216867</v>
      </c>
      <c r="H46" s="11">
        <f>VLOOKUP(B46,MOB!$B$7:'MOB'!$G$101,6,FALSE)</f>
        <v>0</v>
      </c>
      <c r="I46" s="11">
        <f>VLOOKUP(B46,'LUMP SUM'!$B$7:$C$101,2,FALSE)</f>
        <v>100000</v>
      </c>
      <c r="J46" s="11">
        <f>VLOOKUP(B46,'SPLIT SITE'!$B$7:'SPLIT SITE'!$C$101,2,FALSE)</f>
        <v>0</v>
      </c>
      <c r="K46" s="11">
        <f>VLOOKUP(B46,RATES!$D$8:'RATES'!$E$116,2,FALSE)</f>
        <v>5955.5</v>
      </c>
      <c r="L46" s="11">
        <f>VLOOKUP(B46,PFI!$B$7:'PFI'!$C$102,2,FALSE)</f>
        <v>0</v>
      </c>
      <c r="M46" s="29">
        <f t="shared" si="0"/>
        <v>799025.8948675486</v>
      </c>
      <c r="N46" s="11">
        <f>SUMIF('2015-16 MFG'!B:B,B46,'2015-16 MFG'!W:W)</f>
        <v>0</v>
      </c>
      <c r="O46" s="11">
        <f>SUMIF('2015-16 MFG'!B:B,B46,'2015-16 MFG'!AC:AC)</f>
        <v>0</v>
      </c>
      <c r="P46" s="29">
        <f t="shared" si="2"/>
        <v>799025.8948675486</v>
      </c>
      <c r="Q46" s="11">
        <f ca="1">VLOOKUP(B46,'DE-DEL'!$B$7:'DE-DEL'!$N$101,13,FALSE)</f>
        <v>-19619.84</v>
      </c>
      <c r="R46" s="29">
        <f t="shared" ca="1" si="3"/>
        <v>779406.05486754864</v>
      </c>
      <c r="S46" s="11">
        <v>15000</v>
      </c>
      <c r="T46" s="11">
        <v>0</v>
      </c>
      <c r="U46" s="11">
        <v>0</v>
      </c>
      <c r="V46" s="11">
        <v>0</v>
      </c>
      <c r="W46" s="11">
        <v>0</v>
      </c>
      <c r="X46" s="11">
        <v>0</v>
      </c>
      <c r="Y46" s="11">
        <v>0</v>
      </c>
      <c r="Z46" s="29">
        <f t="shared" ca="1" si="1"/>
        <v>794406.05486754864</v>
      </c>
      <c r="AD46" s="11" t="s">
        <v>1165</v>
      </c>
      <c r="AG46" s="11">
        <v>625168.66559999995</v>
      </c>
      <c r="AH46" s="11">
        <v>0</v>
      </c>
      <c r="AI46" s="11">
        <v>770621.00526754849</v>
      </c>
      <c r="AJ46" s="11">
        <f t="shared" si="4"/>
        <v>28404.889600000111</v>
      </c>
      <c r="AM46" s="30">
        <v>2439</v>
      </c>
    </row>
    <row r="47" spans="1:43" s="11" customFormat="1" x14ac:dyDescent="0.2">
      <c r="A47" s="9" t="s">
        <v>49</v>
      </c>
      <c r="B47" s="26">
        <v>2440</v>
      </c>
      <c r="C47" s="11">
        <f>VLOOKUP(B47,AWPU!$B$7:'AWPU'!$N$78,13,FALSE)</f>
        <v>832285.07420000003</v>
      </c>
      <c r="D47" s="11">
        <f>VLOOKUP(B47,DEP!$B$6:'DEP'!$O$101,14,FALSE)</f>
        <v>38811.932544556788</v>
      </c>
      <c r="E47" s="11">
        <f>VLOOKUP(B47,LAC!$B$7:'LAC'!$D$102,3,FALSE)</f>
        <v>0</v>
      </c>
      <c r="F47" s="11">
        <f>VLOOKUP(B47,LCHI!$B$7:'LCHI'!$D$102,3,FALSE)</f>
        <v>0</v>
      </c>
      <c r="G47" s="11">
        <f>VLOOKUP(B47,EAL!$B$7:'EAL'!$G$101,6,FALSE)</f>
        <v>8557.338000000007</v>
      </c>
      <c r="H47" s="11">
        <f>VLOOKUP(B47,MOB!$B$7:'MOB'!$G$101,6,FALSE)</f>
        <v>0</v>
      </c>
      <c r="I47" s="11">
        <f>VLOOKUP(B47,'LUMP SUM'!$B$7:$C$101,2,FALSE)</f>
        <v>100000</v>
      </c>
      <c r="J47" s="11">
        <f>VLOOKUP(B47,'SPLIT SITE'!$B$7:'SPLIT SITE'!$C$101,2,FALSE)</f>
        <v>0</v>
      </c>
      <c r="K47" s="11">
        <f>VLOOKUP(B47,RATES!$D$8:'RATES'!$E$116,2,FALSE)</f>
        <v>17212.620000000003</v>
      </c>
      <c r="L47" s="11">
        <f>VLOOKUP(B47,PFI!$B$7:'PFI'!$C$102,2,FALSE)</f>
        <v>0</v>
      </c>
      <c r="M47" s="29">
        <f t="shared" si="0"/>
        <v>996866.96474455681</v>
      </c>
      <c r="N47" s="11">
        <f>SUMIF('2015-16 MFG'!B:B,B47,'2015-16 MFG'!W:W)</f>
        <v>0</v>
      </c>
      <c r="O47" s="11">
        <f>SUMIF('2015-16 MFG'!B:B,B47,'2015-16 MFG'!AC:AC)</f>
        <v>0</v>
      </c>
      <c r="P47" s="29">
        <f t="shared" si="2"/>
        <v>996866.96474455681</v>
      </c>
      <c r="Q47" s="11">
        <f ca="1">VLOOKUP(B47,'DE-DEL'!$B$7:'DE-DEL'!$N$101,13,FALSE)</f>
        <v>-24984.639999999999</v>
      </c>
      <c r="R47" s="29">
        <f t="shared" ca="1" si="3"/>
        <v>971882.3247445568</v>
      </c>
      <c r="S47" s="11">
        <v>0</v>
      </c>
      <c r="T47" s="11">
        <v>0</v>
      </c>
      <c r="U47" s="11">
        <v>48802.8125</v>
      </c>
      <c r="V47" s="11">
        <v>0</v>
      </c>
      <c r="W47" s="11">
        <v>0</v>
      </c>
      <c r="X47" s="11">
        <v>0</v>
      </c>
      <c r="Y47" s="11">
        <v>0</v>
      </c>
      <c r="Z47" s="29">
        <f t="shared" ca="1" si="1"/>
        <v>1020685.1372445568</v>
      </c>
      <c r="AD47" s="11" t="s">
        <v>1166</v>
      </c>
      <c r="AG47" s="11">
        <v>796113.22259999998</v>
      </c>
      <c r="AH47" s="11">
        <v>0</v>
      </c>
      <c r="AI47" s="11">
        <v>960695.11314455676</v>
      </c>
      <c r="AJ47" s="11">
        <f t="shared" si="4"/>
        <v>36171.851600000053</v>
      </c>
      <c r="AM47" s="30">
        <v>2440</v>
      </c>
    </row>
    <row r="48" spans="1:43" s="11" customFormat="1" x14ac:dyDescent="0.2">
      <c r="A48" s="9" t="s">
        <v>102</v>
      </c>
      <c r="B48" s="26">
        <v>2462</v>
      </c>
      <c r="C48" s="11">
        <f>VLOOKUP(B48,AWPU!$B$7:'AWPU'!$N$78,13,FALSE)</f>
        <v>607619.16460000002</v>
      </c>
      <c r="D48" s="11">
        <f>VLOOKUP(B48,DEP!$B$6:'DEP'!$O$101,14,FALSE)</f>
        <v>58629.531357473665</v>
      </c>
      <c r="E48" s="11">
        <f>VLOOKUP(B48,LAC!$B$7:'LAC'!$D$102,3,FALSE)</f>
        <v>0</v>
      </c>
      <c r="F48" s="11">
        <f>VLOOKUP(B48,LCHI!$B$7:'LCHI'!$D$102,3,FALSE)</f>
        <v>0</v>
      </c>
      <c r="G48" s="11">
        <f>VLOOKUP(B48,EAL!$B$7:'EAL'!$G$101,6,FALSE)</f>
        <v>32370.539507284691</v>
      </c>
      <c r="H48" s="11">
        <f>VLOOKUP(B48,MOB!$B$7:'MOB'!$G$101,6,FALSE)</f>
        <v>0</v>
      </c>
      <c r="I48" s="11">
        <f>VLOOKUP(B48,'LUMP SUM'!$B$7:$C$101,2,FALSE)</f>
        <v>100000</v>
      </c>
      <c r="J48" s="11">
        <f>VLOOKUP(B48,'SPLIT SITE'!$B$7:'SPLIT SITE'!$C$101,2,FALSE)</f>
        <v>0</v>
      </c>
      <c r="K48" s="11">
        <f>VLOOKUP(B48,RATES!$D$8:'RATES'!$E$116,2,FALSE)</f>
        <v>2822.9300000000003</v>
      </c>
      <c r="L48" s="11">
        <f>VLOOKUP(B48,PFI!$B$7:'PFI'!$C$102,2,FALSE)</f>
        <v>0</v>
      </c>
      <c r="M48" s="29">
        <f t="shared" si="0"/>
        <v>801442.16546475841</v>
      </c>
      <c r="N48" s="11">
        <f>SUMIF('2015-16 MFG'!B:B,B48,'2015-16 MFG'!W:W)</f>
        <v>0</v>
      </c>
      <c r="O48" s="11">
        <f>SUMIF('2015-16 MFG'!B:B,B48,'2015-16 MFG'!AC:AC)</f>
        <v>0</v>
      </c>
      <c r="P48" s="29">
        <f t="shared" si="2"/>
        <v>801442.16546475841</v>
      </c>
      <c r="Q48" s="11">
        <f ca="1">VLOOKUP(B48,'DE-DEL'!$B$7:'DE-DEL'!$N$101,13,FALSE)</f>
        <v>-18240.32</v>
      </c>
      <c r="R48" s="29">
        <f t="shared" ca="1" si="3"/>
        <v>783201.84546475846</v>
      </c>
      <c r="S48" s="11">
        <v>18405</v>
      </c>
      <c r="T48" s="11">
        <v>0</v>
      </c>
      <c r="U48" s="11">
        <v>37665.760416666672</v>
      </c>
      <c r="V48" s="11">
        <v>0</v>
      </c>
      <c r="W48" s="11">
        <v>0</v>
      </c>
      <c r="X48" s="11">
        <v>87088.147915821042</v>
      </c>
      <c r="Y48" s="11">
        <v>0</v>
      </c>
      <c r="Z48" s="29">
        <f t="shared" ca="1" si="1"/>
        <v>926360.75379724614</v>
      </c>
      <c r="AD48" s="11" t="s">
        <v>1167</v>
      </c>
      <c r="AG48" s="11">
        <v>581211.49379999994</v>
      </c>
      <c r="AH48" s="11">
        <v>13421.122064786032</v>
      </c>
      <c r="AI48" s="11">
        <v>788455.61672954436</v>
      </c>
      <c r="AJ48" s="11">
        <f t="shared" si="4"/>
        <v>12986.548735214048</v>
      </c>
      <c r="AM48" s="30">
        <v>2462</v>
      </c>
    </row>
    <row r="49" spans="1:43" s="11" customFormat="1" x14ac:dyDescent="0.2">
      <c r="A49" s="9" t="s">
        <v>50</v>
      </c>
      <c r="B49" s="26">
        <v>2463</v>
      </c>
      <c r="C49" s="11">
        <f>VLOOKUP(B49,AWPU!$B$7:'AWPU'!$N$78,13,FALSE)</f>
        <v>857815.29120000009</v>
      </c>
      <c r="D49" s="11">
        <f>VLOOKUP(B49,DEP!$B$6:'DEP'!$O$101,14,FALSE)</f>
        <v>98491.760839346549</v>
      </c>
      <c r="E49" s="11">
        <f>VLOOKUP(B49,LAC!$B$7:'LAC'!$D$102,3,FALSE)</f>
        <v>0</v>
      </c>
      <c r="F49" s="11">
        <f>VLOOKUP(B49,LCHI!$B$7:'LCHI'!$D$102,3,FALSE)</f>
        <v>0</v>
      </c>
      <c r="G49" s="11">
        <f>VLOOKUP(B49,EAL!$B$7:'EAL'!$G$101,6,FALSE)</f>
        <v>22449.520951351355</v>
      </c>
      <c r="H49" s="11">
        <f>VLOOKUP(B49,MOB!$B$7:'MOB'!$G$101,6,FALSE)</f>
        <v>0</v>
      </c>
      <c r="I49" s="11">
        <f>VLOOKUP(B49,'LUMP SUM'!$B$7:$C$101,2,FALSE)</f>
        <v>100000</v>
      </c>
      <c r="J49" s="11">
        <f>VLOOKUP(B49,'SPLIT SITE'!$B$7:'SPLIT SITE'!$C$101,2,FALSE)</f>
        <v>0</v>
      </c>
      <c r="K49" s="11">
        <f>VLOOKUP(B49,RATES!$D$8:'RATES'!$E$116,2,FALSE)</f>
        <v>2822.9300000000003</v>
      </c>
      <c r="L49" s="11">
        <f>VLOOKUP(B49,PFI!$B$7:'PFI'!$C$102,2,FALSE)</f>
        <v>0</v>
      </c>
      <c r="M49" s="29">
        <f t="shared" si="0"/>
        <v>1081579.502990698</v>
      </c>
      <c r="N49" s="11">
        <f>SUMIF('2015-16 MFG'!B:B,B49,'2015-16 MFG'!W:W)</f>
        <v>0</v>
      </c>
      <c r="O49" s="11">
        <f>SUMIF('2015-16 MFG'!B:B,B49,'2015-16 MFG'!AC:AC)</f>
        <v>0</v>
      </c>
      <c r="P49" s="29">
        <f t="shared" si="2"/>
        <v>1081579.502990698</v>
      </c>
      <c r="Q49" s="11">
        <f ca="1">VLOOKUP(B49,'DE-DEL'!$B$7:'DE-DEL'!$N$101,13,FALSE)</f>
        <v>-25751.040000000001</v>
      </c>
      <c r="R49" s="29">
        <f t="shared" ca="1" si="3"/>
        <v>1055828.4629906979</v>
      </c>
      <c r="S49" s="11">
        <v>0</v>
      </c>
      <c r="T49" s="11">
        <v>0</v>
      </c>
      <c r="U49" s="11">
        <v>13514.625</v>
      </c>
      <c r="V49" s="11">
        <v>0</v>
      </c>
      <c r="W49" s="11">
        <v>0</v>
      </c>
      <c r="X49" s="11">
        <v>0</v>
      </c>
      <c r="Y49" s="11">
        <v>0</v>
      </c>
      <c r="Z49" s="29">
        <f t="shared" ca="1" si="1"/>
        <v>1069343.0879906979</v>
      </c>
      <c r="AD49" s="11" t="s">
        <v>1169</v>
      </c>
      <c r="AG49" s="11">
        <v>820533.87359999993</v>
      </c>
      <c r="AH49" s="11">
        <v>0</v>
      </c>
      <c r="AI49" s="11">
        <v>1044298.0853906979</v>
      </c>
      <c r="AJ49" s="11">
        <f t="shared" si="4"/>
        <v>37281.417600000044</v>
      </c>
      <c r="AM49" s="30">
        <v>2463</v>
      </c>
      <c r="AP49" s="30"/>
      <c r="AQ49" s="30"/>
    </row>
    <row r="50" spans="1:43" s="11" customFormat="1" x14ac:dyDescent="0.2">
      <c r="A50" s="9" t="s">
        <v>51</v>
      </c>
      <c r="B50" s="26">
        <v>2505</v>
      </c>
      <c r="C50" s="11">
        <f>VLOOKUP(B50,AWPU!$B$7:'AWPU'!$N$78,13,FALSE)</f>
        <v>1335230.3491000002</v>
      </c>
      <c r="D50" s="11">
        <f>VLOOKUP(B50,DEP!$B$6:'DEP'!$O$101,14,FALSE)</f>
        <v>401760.21347964241</v>
      </c>
      <c r="E50" s="11">
        <f>VLOOKUP(B50,LAC!$B$7:'LAC'!$D$102,3,FALSE)</f>
        <v>0</v>
      </c>
      <c r="F50" s="11">
        <f>VLOOKUP(B50,LCHI!$B$7:'LCHI'!$D$102,3,FALSE)</f>
        <v>0</v>
      </c>
      <c r="G50" s="11">
        <f>VLOOKUP(B50,EAL!$B$7:'EAL'!$G$101,6,FALSE)</f>
        <v>87428.133259534734</v>
      </c>
      <c r="H50" s="11">
        <f>VLOOKUP(B50,MOB!$B$7:'MOB'!$G$101,6,FALSE)</f>
        <v>3239.1360000002378</v>
      </c>
      <c r="I50" s="11">
        <f>VLOOKUP(B50,'LUMP SUM'!$B$7:$C$101,2,FALSE)</f>
        <v>100000</v>
      </c>
      <c r="J50" s="11">
        <f>VLOOKUP(B50,'SPLIT SITE'!$B$7:'SPLIT SITE'!$C$101,2,FALSE)</f>
        <v>0</v>
      </c>
      <c r="K50" s="11">
        <f>VLOOKUP(B50,RATES!$D$8:'RATES'!$E$116,2,FALSE)</f>
        <v>-8549.0099999999984</v>
      </c>
      <c r="L50" s="11">
        <f>VLOOKUP(B50,PFI!$B$7:'PFI'!$C$102,2,FALSE)</f>
        <v>0</v>
      </c>
      <c r="M50" s="29">
        <f t="shared" si="0"/>
        <v>1919108.8218391775</v>
      </c>
      <c r="N50" s="11">
        <f>SUMIF('2015-16 MFG'!B:B,B50,'2015-16 MFG'!W:W)</f>
        <v>0</v>
      </c>
      <c r="O50" s="11">
        <f>SUMIF('2015-16 MFG'!B:B,B50,'2015-16 MFG'!AC:AC)</f>
        <v>0</v>
      </c>
      <c r="P50" s="29">
        <f t="shared" si="2"/>
        <v>1919108.8218391775</v>
      </c>
      <c r="Q50" s="11">
        <f ca="1">VLOOKUP(B50,'DE-DEL'!$B$7:'DE-DEL'!$N$101,13,FALSE)</f>
        <v>-40082.720000000001</v>
      </c>
      <c r="R50" s="29">
        <f t="shared" ca="1" si="3"/>
        <v>1879026.1018391775</v>
      </c>
      <c r="S50" s="11">
        <v>15000</v>
      </c>
      <c r="T50" s="11">
        <v>0</v>
      </c>
      <c r="U50" s="11">
        <v>9009.75</v>
      </c>
      <c r="V50" s="11">
        <v>0</v>
      </c>
      <c r="W50" s="11">
        <v>0</v>
      </c>
      <c r="X50" s="11">
        <v>175959.23641535736</v>
      </c>
      <c r="Y50" s="11">
        <v>0</v>
      </c>
      <c r="Z50" s="29">
        <f t="shared" ca="1" si="1"/>
        <v>2078995.0882545349</v>
      </c>
      <c r="AD50" s="11" t="s">
        <v>1170</v>
      </c>
      <c r="AG50" s="11">
        <v>1277200.0473</v>
      </c>
      <c r="AH50" s="11">
        <v>0</v>
      </c>
      <c r="AI50" s="11">
        <v>1861078.5200391775</v>
      </c>
      <c r="AJ50" s="11">
        <f t="shared" si="4"/>
        <v>58030.301800000016</v>
      </c>
      <c r="AM50" s="30">
        <v>2505</v>
      </c>
      <c r="AP50" s="30"/>
      <c r="AQ50" s="30"/>
    </row>
    <row r="51" spans="1:43" s="11" customFormat="1" x14ac:dyDescent="0.2">
      <c r="A51" s="9" t="s">
        <v>52</v>
      </c>
      <c r="B51" s="26">
        <v>2000</v>
      </c>
      <c r="C51" s="11">
        <f>VLOOKUP(B51,AWPU!$B$7:'AWPU'!$N$78,13,FALSE)</f>
        <v>760800.46660000004</v>
      </c>
      <c r="D51" s="11">
        <f>VLOOKUP(B51,DEP!$B$6:'DEP'!$O$101,14,FALSE)</f>
        <v>190493.00689970469</v>
      </c>
      <c r="E51" s="11">
        <f>VLOOKUP(B51,LAC!$B$7:'LAC'!$D$102,3,FALSE)</f>
        <v>1313.5458521172638</v>
      </c>
      <c r="F51" s="11">
        <f>VLOOKUP(B51,LCHI!$B$7:'LCHI'!$D$102,3,FALSE)</f>
        <v>0</v>
      </c>
      <c r="G51" s="11">
        <f>VLOOKUP(B51,EAL!$B$7:'EAL'!$G$101,6,FALSE)</f>
        <v>25595.666002974001</v>
      </c>
      <c r="H51" s="11">
        <f>VLOOKUP(B51,MOB!$B$7:'MOB'!$G$101,6,FALSE)</f>
        <v>11405.056000000162</v>
      </c>
      <c r="I51" s="11">
        <f>VLOOKUP(B51,'LUMP SUM'!$B$7:$C$101,2,FALSE)</f>
        <v>100000</v>
      </c>
      <c r="J51" s="11">
        <f>VLOOKUP(B51,'SPLIT SITE'!$B$7:'SPLIT SITE'!$C$101,2,FALSE)</f>
        <v>0</v>
      </c>
      <c r="K51" s="11">
        <f>VLOOKUP(B51,RATES!$D$8:'RATES'!$E$116,2,FALSE)</f>
        <v>6138.08</v>
      </c>
      <c r="L51" s="11">
        <f>VLOOKUP(B51,PFI!$B$7:'PFI'!$C$102,2,FALSE)</f>
        <v>0</v>
      </c>
      <c r="M51" s="29">
        <f t="shared" si="0"/>
        <v>1095745.8213547962</v>
      </c>
      <c r="N51" s="11">
        <f>SUMIF('2015-16 MFG'!B:B,B51,'2015-16 MFG'!W:W)</f>
        <v>0</v>
      </c>
      <c r="O51" s="11">
        <f>SUMIF('2015-16 MFG'!B:B,B51,'2015-16 MFG'!AC:AC)</f>
        <v>0</v>
      </c>
      <c r="P51" s="29">
        <f t="shared" si="2"/>
        <v>1095745.8213547962</v>
      </c>
      <c r="Q51" s="11">
        <f ca="1">VLOOKUP(B51,'DE-DEL'!$B$7:'DE-DEL'!$N$101,13,FALSE)</f>
        <v>-22838.720000000001</v>
      </c>
      <c r="R51" s="29">
        <f t="shared" ca="1" si="3"/>
        <v>1072907.1013547962</v>
      </c>
      <c r="S51" s="11">
        <v>16810</v>
      </c>
      <c r="T51" s="11">
        <v>453199.02</v>
      </c>
      <c r="U51" s="11">
        <v>15016.25</v>
      </c>
      <c r="V51" s="11">
        <v>0</v>
      </c>
      <c r="W51" s="11">
        <v>0</v>
      </c>
      <c r="X51" s="11">
        <v>57138.124658174682</v>
      </c>
      <c r="Y51" s="11">
        <v>0</v>
      </c>
      <c r="Z51" s="29">
        <f t="shared" ca="1" si="1"/>
        <v>1615070.4960129708</v>
      </c>
      <c r="AD51" s="11" t="s">
        <v>1171</v>
      </c>
      <c r="AG51" s="11">
        <v>727735.3997999999</v>
      </c>
      <c r="AH51" s="11">
        <v>0</v>
      </c>
      <c r="AI51" s="11">
        <v>1062680.754554796</v>
      </c>
      <c r="AJ51" s="11">
        <f t="shared" si="4"/>
        <v>33065.066800000146</v>
      </c>
      <c r="AM51" s="30">
        <v>2000</v>
      </c>
      <c r="AP51" s="30"/>
      <c r="AQ51" s="30"/>
    </row>
    <row r="52" spans="1:43" s="11" customFormat="1" x14ac:dyDescent="0.2">
      <c r="A52" s="9" t="s">
        <v>53</v>
      </c>
      <c r="B52" s="26">
        <v>2458</v>
      </c>
      <c r="C52" s="11">
        <f>VLOOKUP(B52,AWPU!$B$7:'AWPU'!$N$78,13,FALSE)</f>
        <v>689315.85900000005</v>
      </c>
      <c r="D52" s="11">
        <f>VLOOKUP(B52,DEP!$B$6:'DEP'!$O$101,14,FALSE)</f>
        <v>68747.653346891835</v>
      </c>
      <c r="E52" s="11">
        <f>VLOOKUP(B52,LAC!$B$7:'LAC'!$D$102,3,FALSE)</f>
        <v>0</v>
      </c>
      <c r="F52" s="11">
        <f>VLOOKUP(B52,LCHI!$B$7:'LCHI'!$D$102,3,FALSE)</f>
        <v>0</v>
      </c>
      <c r="G52" s="11">
        <f>VLOOKUP(B52,EAL!$B$7:'EAL'!$G$101,6,FALSE)</f>
        <v>92419.25039999999</v>
      </c>
      <c r="H52" s="11">
        <f>VLOOKUP(B52,MOB!$B$7:'MOB'!$G$101,6,FALSE)</f>
        <v>0</v>
      </c>
      <c r="I52" s="11">
        <f>VLOOKUP(B52,'LUMP SUM'!$B$7:$C$101,2,FALSE)</f>
        <v>100000</v>
      </c>
      <c r="J52" s="11">
        <f>VLOOKUP(B52,'SPLIT SITE'!$B$7:'SPLIT SITE'!$C$101,2,FALSE)</f>
        <v>0</v>
      </c>
      <c r="K52" s="11">
        <f>VLOOKUP(B52,RATES!$D$8:'RATES'!$E$116,2,FALSE)</f>
        <v>29638.763040000002</v>
      </c>
      <c r="L52" s="11">
        <f>VLOOKUP(B52,PFI!$B$7:'PFI'!$C$102,2,FALSE)</f>
        <v>0</v>
      </c>
      <c r="M52" s="29">
        <f t="shared" si="0"/>
        <v>980121.52578689193</v>
      </c>
      <c r="N52" s="11">
        <f>SUMIF('2015-16 MFG'!B:B,B52,'2015-16 MFG'!W:W)</f>
        <v>0</v>
      </c>
      <c r="O52" s="11">
        <f>SUMIF('2015-16 MFG'!B:B,B52,'2015-16 MFG'!AC:AC)</f>
        <v>0</v>
      </c>
      <c r="P52" s="29">
        <f t="shared" si="2"/>
        <v>980121.52578689193</v>
      </c>
      <c r="Q52" s="11">
        <f ca="1">VLOOKUP(B52,'DE-DEL'!$B$7:'DE-DEL'!$N$101,13,FALSE)</f>
        <v>-20692.8</v>
      </c>
      <c r="R52" s="29">
        <f t="shared" ca="1" si="3"/>
        <v>959428.72578689188</v>
      </c>
      <c r="S52" s="11">
        <v>15000</v>
      </c>
      <c r="T52" s="11">
        <v>0</v>
      </c>
      <c r="U52" s="11">
        <v>24776.8125</v>
      </c>
      <c r="V52" s="11">
        <v>0</v>
      </c>
      <c r="W52" s="11">
        <v>0</v>
      </c>
      <c r="X52" s="11">
        <v>0</v>
      </c>
      <c r="Y52" s="11">
        <v>0</v>
      </c>
      <c r="Z52" s="29">
        <f t="shared" ca="1" si="1"/>
        <v>999205.53828689188</v>
      </c>
      <c r="AD52" s="11" t="s">
        <v>1173</v>
      </c>
      <c r="AG52" s="11">
        <v>659357.57699999993</v>
      </c>
      <c r="AH52" s="11">
        <v>0</v>
      </c>
      <c r="AI52" s="11">
        <v>950163.24378689181</v>
      </c>
      <c r="AJ52" s="11">
        <f t="shared" si="4"/>
        <v>29958.282000000123</v>
      </c>
      <c r="AM52" s="30">
        <v>2458</v>
      </c>
      <c r="AP52" s="30"/>
      <c r="AQ52" s="30"/>
    </row>
    <row r="53" spans="1:43" s="11" customFormat="1" x14ac:dyDescent="0.2">
      <c r="A53" s="9" t="s">
        <v>54</v>
      </c>
      <c r="B53" s="26">
        <v>2001</v>
      </c>
      <c r="C53" s="11">
        <f>VLOOKUP(B53,AWPU!$B$7:'AWPU'!$N$78,13,FALSE)</f>
        <v>901216.6601000001</v>
      </c>
      <c r="D53" s="11">
        <f>VLOOKUP(B53,DEP!$B$6:'DEP'!$O$101,14,FALSE)</f>
        <v>417029.94610019086</v>
      </c>
      <c r="E53" s="11">
        <f>VLOOKUP(B53,LAC!$B$7:'LAC'!$D$102,3,FALSE)</f>
        <v>4202.5116870967749</v>
      </c>
      <c r="F53" s="11">
        <f>VLOOKUP(B53,LCHI!$B$7:'LCHI'!$D$102,3,FALSE)</f>
        <v>0</v>
      </c>
      <c r="G53" s="11">
        <f>VLOOKUP(B53,EAL!$B$7:'EAL'!$G$101,6,FALSE)</f>
        <v>17646.936542268042</v>
      </c>
      <c r="H53" s="11">
        <f>VLOOKUP(B53,MOB!$B$7:'MOB'!$G$101,6,FALSE)</f>
        <v>11636.895999999786</v>
      </c>
      <c r="I53" s="11">
        <f>VLOOKUP(B53,'LUMP SUM'!$B$7:$C$101,2,FALSE)</f>
        <v>100000</v>
      </c>
      <c r="J53" s="11">
        <f>VLOOKUP(B53,'SPLIT SITE'!$B$7:'SPLIT SITE'!$C$101,2,FALSE)</f>
        <v>0</v>
      </c>
      <c r="K53" s="11">
        <f>VLOOKUP(B53,RATES!$D$8:'RATES'!$E$116,2,FALSE)</f>
        <v>-1745.6599999999999</v>
      </c>
      <c r="L53" s="11">
        <f>VLOOKUP(B53,PFI!$B$7:'PFI'!$C$102,2,FALSE)</f>
        <v>0</v>
      </c>
      <c r="M53" s="29">
        <f t="shared" si="0"/>
        <v>1449987.2904295556</v>
      </c>
      <c r="N53" s="11">
        <f>SUMIF('2015-16 MFG'!B:B,B53,'2015-16 MFG'!W:W)</f>
        <v>0</v>
      </c>
      <c r="O53" s="11">
        <f>SUMIF('2015-16 MFG'!B:B,B53,'2015-16 MFG'!AC:AC)</f>
        <v>0</v>
      </c>
      <c r="P53" s="29">
        <f t="shared" si="2"/>
        <v>1449987.2904295556</v>
      </c>
      <c r="Q53" s="11">
        <f ca="1">VLOOKUP(B53,'DE-DEL'!$B$7:'DE-DEL'!$N$101,13,FALSE)</f>
        <v>-27053.920000000002</v>
      </c>
      <c r="R53" s="29">
        <f t="shared" ca="1" si="3"/>
        <v>1422933.3704295557</v>
      </c>
      <c r="S53" s="11">
        <v>16810</v>
      </c>
      <c r="T53" s="11">
        <v>0</v>
      </c>
      <c r="U53" s="11">
        <v>13514.625</v>
      </c>
      <c r="V53" s="11">
        <v>0</v>
      </c>
      <c r="W53" s="11">
        <v>0</v>
      </c>
      <c r="X53" s="11">
        <v>133516.67275388615</v>
      </c>
      <c r="Y53" s="11">
        <v>0</v>
      </c>
      <c r="Z53" s="29">
        <f t="shared" ca="1" si="1"/>
        <v>1586774.6681834417</v>
      </c>
      <c r="AD53" s="11" t="s">
        <v>1176</v>
      </c>
      <c r="AG53" s="11">
        <v>862048.98029999994</v>
      </c>
      <c r="AH53" s="11">
        <v>0</v>
      </c>
      <c r="AI53" s="11">
        <v>1410819.6106295553</v>
      </c>
      <c r="AJ53" s="11">
        <f t="shared" si="4"/>
        <v>39167.679800000275</v>
      </c>
      <c r="AM53" s="30">
        <v>2001</v>
      </c>
    </row>
    <row r="54" spans="1:43" s="11" customFormat="1" x14ac:dyDescent="0.2">
      <c r="A54" s="9" t="s">
        <v>55</v>
      </c>
      <c r="B54" s="26">
        <v>2429</v>
      </c>
      <c r="C54" s="11">
        <f>VLOOKUP(B54,AWPU!$B$7:'AWPU'!$N$78,13,FALSE)</f>
        <v>382953.25500000006</v>
      </c>
      <c r="D54" s="11">
        <f>VLOOKUP(B54,DEP!$B$6:'DEP'!$O$101,14,FALSE)</f>
        <v>122515.03263151422</v>
      </c>
      <c r="E54" s="11">
        <f>VLOOKUP(B54,LAC!$B$7:'LAC'!$D$102,3,FALSE)</f>
        <v>2688.5099999999998</v>
      </c>
      <c r="F54" s="11">
        <f>VLOOKUP(B54,LCHI!$B$7:'LCHI'!$D$102,3,FALSE)</f>
        <v>0</v>
      </c>
      <c r="G54" s="11">
        <f>VLOOKUP(B54,EAL!$B$7:'EAL'!$G$101,6,FALSE)</f>
        <v>84236.295937499992</v>
      </c>
      <c r="H54" s="11">
        <f>VLOOKUP(B54,MOB!$B$7:'MOB'!$G$101,6,FALSE)</f>
        <v>0</v>
      </c>
      <c r="I54" s="11">
        <f>VLOOKUP(B54,'LUMP SUM'!$B$7:$C$101,2,FALSE)</f>
        <v>100000</v>
      </c>
      <c r="J54" s="11">
        <f>VLOOKUP(B54,'SPLIT SITE'!$B$7:'SPLIT SITE'!$C$101,2,FALSE)</f>
        <v>0</v>
      </c>
      <c r="K54" s="11">
        <f>VLOOKUP(B54,RATES!$D$8:'RATES'!$E$116,2,FALSE)</f>
        <v>-3356.6800000000003</v>
      </c>
      <c r="L54" s="11">
        <f>VLOOKUP(B54,PFI!$B$7:'PFI'!$C$102,2,FALSE)</f>
        <v>0</v>
      </c>
      <c r="M54" s="29">
        <f t="shared" si="0"/>
        <v>689036.41356901417</v>
      </c>
      <c r="N54" s="11">
        <f>SUMIF('2015-16 MFG'!B:B,B54,'2015-16 MFG'!W:W)</f>
        <v>0</v>
      </c>
      <c r="O54" s="11">
        <f>SUMIF('2015-16 MFG'!B:B,B54,'2015-16 MFG'!AC:AC)</f>
        <v>0</v>
      </c>
      <c r="P54" s="29">
        <f t="shared" si="2"/>
        <v>689036.41356901417</v>
      </c>
      <c r="Q54" s="11">
        <f ca="1">VLOOKUP(B54,'DE-DEL'!$B$7:'DE-DEL'!$N$101,13,FALSE)</f>
        <v>-11496</v>
      </c>
      <c r="R54" s="29">
        <f t="shared" ca="1" si="3"/>
        <v>677540.41356901417</v>
      </c>
      <c r="S54" s="11">
        <v>20215</v>
      </c>
      <c r="T54" s="11">
        <v>0</v>
      </c>
      <c r="U54" s="11">
        <v>0</v>
      </c>
      <c r="V54" s="11">
        <v>0</v>
      </c>
      <c r="W54" s="11">
        <v>0</v>
      </c>
      <c r="X54" s="11">
        <v>140347.06620229987</v>
      </c>
      <c r="Y54" s="11">
        <v>0</v>
      </c>
      <c r="Z54" s="29">
        <f t="shared" ca="1" si="1"/>
        <v>838102.47977131407</v>
      </c>
      <c r="AD54" s="11" t="s">
        <v>1177</v>
      </c>
      <c r="AG54" s="11">
        <v>366309.76499999996</v>
      </c>
      <c r="AH54" s="11">
        <v>190.02789072936866</v>
      </c>
      <c r="AI54" s="11">
        <v>672582.95145974343</v>
      </c>
      <c r="AJ54" s="11">
        <f t="shared" si="4"/>
        <v>16453.462109270738</v>
      </c>
      <c r="AM54" s="30">
        <v>2429</v>
      </c>
    </row>
    <row r="55" spans="1:43" s="11" customFormat="1" x14ac:dyDescent="0.2">
      <c r="A55" s="9" t="s">
        <v>56</v>
      </c>
      <c r="B55" s="26">
        <v>2444</v>
      </c>
      <c r="C55" s="11">
        <f>VLOOKUP(B55,AWPU!$B$7:'AWPU'!$N$78,13,FALSE)</f>
        <v>531028.51360000006</v>
      </c>
      <c r="D55" s="11">
        <f>VLOOKUP(B55,DEP!$B$6:'DEP'!$O$101,14,FALSE)</f>
        <v>121323.92665087717</v>
      </c>
      <c r="E55" s="11">
        <f>VLOOKUP(B55,LAC!$B$7:'LAC'!$D$102,3,FALSE)</f>
        <v>0</v>
      </c>
      <c r="F55" s="11">
        <f>VLOOKUP(B55,LCHI!$B$7:'LCHI'!$D$102,3,FALSE)</f>
        <v>0</v>
      </c>
      <c r="G55" s="11">
        <f>VLOOKUP(B55,EAL!$B$7:'EAL'!$G$101,6,FALSE)</f>
        <v>29665.438400000057</v>
      </c>
      <c r="H55" s="11">
        <f>VLOOKUP(B55,MOB!$B$7:'MOB'!$G$101,6,FALSE)</f>
        <v>0</v>
      </c>
      <c r="I55" s="11">
        <f>VLOOKUP(B55,'LUMP SUM'!$B$7:$C$101,2,FALSE)</f>
        <v>100000</v>
      </c>
      <c r="J55" s="11">
        <f>VLOOKUP(B55,'SPLIT SITE'!$B$7:'SPLIT SITE'!$C$101,2,FALSE)</f>
        <v>0</v>
      </c>
      <c r="K55" s="11">
        <f>VLOOKUP(B55,RATES!$D$8:'RATES'!$E$116,2,FALSE)</f>
        <v>5900.59</v>
      </c>
      <c r="L55" s="11">
        <f>VLOOKUP(B55,PFI!$B$7:'PFI'!$C$102,2,FALSE)</f>
        <v>0</v>
      </c>
      <c r="M55" s="29">
        <f t="shared" si="0"/>
        <v>787918.46865087736</v>
      </c>
      <c r="N55" s="11">
        <f>SUMIF('2015-16 MFG'!B:B,B55,'2015-16 MFG'!W:W)</f>
        <v>0</v>
      </c>
      <c r="O55" s="11">
        <f>SUMIF('2015-16 MFG'!B:B,B55,'2015-16 MFG'!AC:AC)</f>
        <v>0</v>
      </c>
      <c r="P55" s="29">
        <f t="shared" si="2"/>
        <v>787918.46865087736</v>
      </c>
      <c r="Q55" s="11">
        <f ca="1">VLOOKUP(B55,'DE-DEL'!$B$7:'DE-DEL'!$N$101,13,FALSE)</f>
        <v>-15941.12</v>
      </c>
      <c r="R55" s="29">
        <f t="shared" ca="1" si="3"/>
        <v>771977.34865087736</v>
      </c>
      <c r="S55" s="11">
        <v>37700</v>
      </c>
      <c r="T55" s="11">
        <v>0</v>
      </c>
      <c r="U55" s="11">
        <v>19145.71875</v>
      </c>
      <c r="V55" s="11">
        <v>0</v>
      </c>
      <c r="W55" s="11">
        <v>0</v>
      </c>
      <c r="X55" s="11">
        <v>120146.77363864669</v>
      </c>
      <c r="Y55" s="11">
        <v>0</v>
      </c>
      <c r="Z55" s="29">
        <f t="shared" ca="1" si="1"/>
        <v>948969.84103952406</v>
      </c>
      <c r="AD55" s="11" t="s">
        <v>1178</v>
      </c>
      <c r="AG55" s="11">
        <v>507949.54079999996</v>
      </c>
      <c r="AH55" s="11">
        <v>0</v>
      </c>
      <c r="AI55" s="11">
        <v>764839.49585087725</v>
      </c>
      <c r="AJ55" s="11">
        <f t="shared" si="4"/>
        <v>23078.972800000105</v>
      </c>
      <c r="AM55" s="30">
        <v>2444</v>
      </c>
    </row>
    <row r="56" spans="1:43" s="11" customFormat="1" x14ac:dyDescent="0.2">
      <c r="A56" s="9" t="s">
        <v>57</v>
      </c>
      <c r="B56" s="26">
        <v>5209</v>
      </c>
      <c r="C56" s="11">
        <f>VLOOKUP(B56,AWPU!$B$7:'AWPU'!$N$78,13,FALSE)</f>
        <v>699527.9458000001</v>
      </c>
      <c r="D56" s="11">
        <f>VLOOKUP(B56,DEP!$B$6:'DEP'!$O$101,14,FALSE)</f>
        <v>195781.8693357498</v>
      </c>
      <c r="E56" s="11">
        <f>VLOOKUP(B56,LAC!$B$7:'LAC'!$D$102,3,FALSE)</f>
        <v>0</v>
      </c>
      <c r="F56" s="11">
        <f>VLOOKUP(B56,LCHI!$B$7:'LCHI'!$D$102,3,FALSE)</f>
        <v>0</v>
      </c>
      <c r="G56" s="11">
        <f>VLOOKUP(B56,EAL!$B$7:'EAL'!$G$101,6,FALSE)</f>
        <v>10382.482414760138</v>
      </c>
      <c r="H56" s="11">
        <f>VLOOKUP(B56,MOB!$B$7:'MOB'!$G$101,6,FALSE)</f>
        <v>0</v>
      </c>
      <c r="I56" s="11">
        <f>VLOOKUP(B56,'LUMP SUM'!$B$7:$C$101,2,FALSE)</f>
        <v>100000</v>
      </c>
      <c r="J56" s="11">
        <f>VLOOKUP(B56,'SPLIT SITE'!$B$7:'SPLIT SITE'!$C$101,2,FALSE)</f>
        <v>0</v>
      </c>
      <c r="K56" s="11">
        <f>VLOOKUP(B56,RATES!$D$8:'RATES'!$E$116,2,FALSE)</f>
        <v>2450.0580000000009</v>
      </c>
      <c r="L56" s="11">
        <f>VLOOKUP(B56,PFI!$B$7:'PFI'!$C$102,2,FALSE)</f>
        <v>0</v>
      </c>
      <c r="M56" s="29">
        <f t="shared" si="0"/>
        <v>1008142.35555051</v>
      </c>
      <c r="N56" s="11">
        <f>SUMIF('2015-16 MFG'!B:B,B56,'2015-16 MFG'!W:W)</f>
        <v>0</v>
      </c>
      <c r="O56" s="11">
        <f>SUMIF('2015-16 MFG'!B:B,B56,'2015-16 MFG'!AC:AC)</f>
        <v>0</v>
      </c>
      <c r="P56" s="29">
        <f t="shared" si="2"/>
        <v>1008142.35555051</v>
      </c>
      <c r="Q56" s="11">
        <f ca="1">VLOOKUP(B56,'DE-DEL'!$B$7:'DE-DEL'!$N$101,13,FALSE)</f>
        <v>-20999.360000000001</v>
      </c>
      <c r="R56" s="29">
        <f t="shared" ca="1" si="3"/>
        <v>987142.99555051001</v>
      </c>
      <c r="S56" s="11">
        <v>0</v>
      </c>
      <c r="T56" s="11">
        <v>0</v>
      </c>
      <c r="U56" s="11">
        <v>0</v>
      </c>
      <c r="V56" s="11">
        <v>0</v>
      </c>
      <c r="W56" s="11">
        <v>0</v>
      </c>
      <c r="X56" s="11">
        <v>0</v>
      </c>
      <c r="Y56" s="11">
        <v>0</v>
      </c>
      <c r="Z56" s="29">
        <f t="shared" ca="1" si="1"/>
        <v>987142.99555051001</v>
      </c>
      <c r="AD56" s="11" t="s">
        <v>1179</v>
      </c>
      <c r="AG56" s="11">
        <v>669125.83739999996</v>
      </c>
      <c r="AH56" s="11">
        <v>14722.063514046138</v>
      </c>
      <c r="AI56" s="11">
        <v>992462.31066455599</v>
      </c>
      <c r="AJ56" s="11">
        <f t="shared" si="4"/>
        <v>15680.044885954005</v>
      </c>
      <c r="AM56" s="30">
        <v>5209</v>
      </c>
    </row>
    <row r="57" spans="1:43" s="11" customFormat="1" x14ac:dyDescent="0.2">
      <c r="A57" s="9" t="s">
        <v>58</v>
      </c>
      <c r="B57" s="26">
        <v>2469</v>
      </c>
      <c r="C57" s="11">
        <f>VLOOKUP(B57,AWPU!$B$7:'AWPU'!$N$78,13,FALSE)</f>
        <v>1049291.9187</v>
      </c>
      <c r="D57" s="11">
        <f>VLOOKUP(B57,DEP!$B$6:'DEP'!$O$101,14,FALSE)</f>
        <v>84578.740017580625</v>
      </c>
      <c r="E57" s="11">
        <f>VLOOKUP(B57,LAC!$B$7:'LAC'!$D$102,3,FALSE)</f>
        <v>0</v>
      </c>
      <c r="F57" s="11">
        <f>VLOOKUP(B57,LCHI!$B$7:'LCHI'!$D$102,3,FALSE)</f>
        <v>0</v>
      </c>
      <c r="G57" s="11">
        <f>VLOOKUP(B57,EAL!$B$7:'EAL'!$G$101,6,FALSE)</f>
        <v>34068.444789743604</v>
      </c>
      <c r="H57" s="11">
        <f>VLOOKUP(B57,MOB!$B$7:'MOB'!$G$101,6,FALSE)</f>
        <v>0</v>
      </c>
      <c r="I57" s="11">
        <f>VLOOKUP(B57,'LUMP SUM'!$B$7:$C$101,2,FALSE)</f>
        <v>100000</v>
      </c>
      <c r="J57" s="11">
        <f>VLOOKUP(B57,'SPLIT SITE'!$B$7:'SPLIT SITE'!$C$101,2,FALSE)</f>
        <v>0</v>
      </c>
      <c r="K57" s="11">
        <f>VLOOKUP(B57,RATES!$D$8:'RATES'!$E$116,2,FALSE)</f>
        <v>-2409.9300000000003</v>
      </c>
      <c r="L57" s="11">
        <f>VLOOKUP(B57,PFI!$B$7:'PFI'!$C$102,2,FALSE)</f>
        <v>0</v>
      </c>
      <c r="M57" s="29">
        <f t="shared" si="0"/>
        <v>1265529.1735073242</v>
      </c>
      <c r="N57" s="11">
        <f>SUMIF('2015-16 MFG'!B:B,B57,'2015-16 MFG'!W:W)</f>
        <v>0</v>
      </c>
      <c r="O57" s="11">
        <f>SUMIF('2015-16 MFG'!B:B,B57,'2015-16 MFG'!AC:AC)</f>
        <v>0</v>
      </c>
      <c r="P57" s="29">
        <f t="shared" si="2"/>
        <v>1265529.1735073242</v>
      </c>
      <c r="Q57" s="11">
        <f ca="1">VLOOKUP(B57,'DE-DEL'!$B$7:'DE-DEL'!$N$101,13,FALSE)</f>
        <v>-31499.040000000001</v>
      </c>
      <c r="R57" s="29">
        <f t="shared" ca="1" si="3"/>
        <v>1234030.1335073241</v>
      </c>
      <c r="S57" s="11">
        <v>10000</v>
      </c>
      <c r="T57" s="11">
        <v>0</v>
      </c>
      <c r="U57" s="11">
        <v>17894.364583333332</v>
      </c>
      <c r="V57" s="11">
        <v>0</v>
      </c>
      <c r="W57" s="11">
        <v>0</v>
      </c>
      <c r="X57" s="11">
        <v>0</v>
      </c>
      <c r="Y57" s="11">
        <v>0</v>
      </c>
      <c r="Z57" s="29">
        <f t="shared" ca="1" si="1"/>
        <v>1261924.4980906574</v>
      </c>
      <c r="AD57" s="11" t="s">
        <v>1180</v>
      </c>
      <c r="AG57" s="11">
        <v>1003688.7560999999</v>
      </c>
      <c r="AH57" s="11">
        <v>12726.241434658179</v>
      </c>
      <c r="AI57" s="11">
        <v>1232652.2523419822</v>
      </c>
      <c r="AJ57" s="11">
        <f t="shared" si="4"/>
        <v>32876.921165341977</v>
      </c>
      <c r="AM57" s="30">
        <v>2469</v>
      </c>
    </row>
    <row r="58" spans="1:43" s="11" customFormat="1" x14ac:dyDescent="0.2">
      <c r="A58" s="59" t="s">
        <v>451</v>
      </c>
      <c r="B58" s="26">
        <v>2430</v>
      </c>
      <c r="C58" s="11">
        <f>VLOOKUP(B58,AWPU!$B$7:'AWPU'!$N$78,13,FALSE)</f>
        <v>306362.60400000005</v>
      </c>
      <c r="D58" s="11">
        <f>VLOOKUP(B58,DEP!$B$6:'DEP'!$O$101,14,FALSE)</f>
        <v>143834.51960452116</v>
      </c>
      <c r="E58" s="11">
        <f>VLOOKUP(B58,LAC!$B$7:'LAC'!$D$102,3,FALSE)</f>
        <v>0</v>
      </c>
      <c r="F58" s="11">
        <f>VLOOKUP(B58,LCHI!$B$7:'LCHI'!$D$102,3,FALSE)</f>
        <v>0</v>
      </c>
      <c r="G58" s="11">
        <f>VLOOKUP(B58,EAL!$B$7:'EAL'!$G$101,6,FALSE)</f>
        <v>27524.633567010304</v>
      </c>
      <c r="H58" s="11">
        <f>VLOOKUP(B58,MOB!$B$7:'MOB'!$G$101,6,FALSE)</f>
        <v>16795.520000000051</v>
      </c>
      <c r="I58" s="11">
        <f>VLOOKUP(B58,'LUMP SUM'!$B$7:$C$101,2,FALSE)</f>
        <v>100000</v>
      </c>
      <c r="J58" s="11">
        <f>VLOOKUP(B58,'SPLIT SITE'!$B$7:'SPLIT SITE'!$C$101,2,FALSE)</f>
        <v>0</v>
      </c>
      <c r="K58" s="11">
        <f>VLOOKUP(B58,RATES!$D$8:'RATES'!$E$116,2,FALSE)</f>
        <v>16330.909999999998</v>
      </c>
      <c r="L58" s="11">
        <f>VLOOKUP(B58,PFI!$B$7:'PFI'!$C$102,2,FALSE)</f>
        <v>22766</v>
      </c>
      <c r="M58" s="29">
        <f t="shared" si="0"/>
        <v>633614.18717153161</v>
      </c>
      <c r="N58" s="11">
        <f>SUMIF('2015-16 MFG'!B:B,B58,'2015-16 MFG'!W:W)</f>
        <v>0</v>
      </c>
      <c r="O58" s="11">
        <f>SUMIF('2015-16 MFG'!B:B,B58,'2015-16 MFG'!AC:AC)</f>
        <v>0</v>
      </c>
      <c r="P58" s="29">
        <f t="shared" si="2"/>
        <v>633614.18717153161</v>
      </c>
      <c r="Q58" s="11">
        <f ca="1">VLOOKUP(B58,'DE-DEL'!$B$7:'DE-DEL'!$N$101,13,FALSE)</f>
        <v>-9196.7999999999993</v>
      </c>
      <c r="R58" s="29">
        <f t="shared" ca="1" si="3"/>
        <v>624417.38717153156</v>
      </c>
      <c r="S58" s="11">
        <v>14080</v>
      </c>
      <c r="T58" s="11">
        <v>0</v>
      </c>
      <c r="U58" s="11">
        <v>9009.75</v>
      </c>
      <c r="V58" s="11">
        <v>0</v>
      </c>
      <c r="W58" s="11">
        <v>0</v>
      </c>
      <c r="X58" s="11">
        <v>33156.42772019712</v>
      </c>
      <c r="Y58" s="11">
        <v>0</v>
      </c>
      <c r="Z58" s="29">
        <f t="shared" ca="1" si="1"/>
        <v>680663.56489172869</v>
      </c>
      <c r="AD58" s="11" t="s">
        <v>1181</v>
      </c>
      <c r="AG58" s="11">
        <v>293047.81199999998</v>
      </c>
      <c r="AH58" s="11">
        <v>4259.7761289055343</v>
      </c>
      <c r="AI58" s="11">
        <v>624559.17130043707</v>
      </c>
      <c r="AJ58" s="11">
        <f t="shared" si="4"/>
        <v>9055.0158710945398</v>
      </c>
      <c r="AM58" s="30">
        <v>2430</v>
      </c>
      <c r="AP58" s="30"/>
      <c r="AQ58" s="30"/>
    </row>
    <row r="59" spans="1:43" s="11" customFormat="1" x14ac:dyDescent="0.2">
      <c r="A59" s="9" t="s">
        <v>59</v>
      </c>
      <c r="B59" s="26">
        <v>2466</v>
      </c>
      <c r="C59" s="11">
        <f>VLOOKUP(B59,AWPU!$B$7:'AWPU'!$N$78,13,FALSE)</f>
        <v>502945.27490000002</v>
      </c>
      <c r="D59" s="11">
        <f>VLOOKUP(B59,DEP!$B$6:'DEP'!$O$101,14,FALSE)</f>
        <v>89930.290130968817</v>
      </c>
      <c r="E59" s="11">
        <f>VLOOKUP(B59,LAC!$B$7:'LAC'!$D$102,3,FALSE)</f>
        <v>0</v>
      </c>
      <c r="F59" s="11">
        <f>VLOOKUP(B59,LCHI!$B$7:'LCHI'!$D$102,3,FALSE)</f>
        <v>0</v>
      </c>
      <c r="G59" s="11">
        <f>VLOOKUP(B59,EAL!$B$7:'EAL'!$G$101,6,FALSE)</f>
        <v>2923.3449468208014</v>
      </c>
      <c r="H59" s="11">
        <f>VLOOKUP(B59,MOB!$B$7:'MOB'!$G$101,6,FALSE)</f>
        <v>32856.601756097458</v>
      </c>
      <c r="I59" s="11">
        <f>VLOOKUP(B59,'LUMP SUM'!$B$7:$C$101,2,FALSE)</f>
        <v>100000</v>
      </c>
      <c r="J59" s="11">
        <f>VLOOKUP(B59,'SPLIT SITE'!$B$7:'SPLIT SITE'!$C$101,2,FALSE)</f>
        <v>0</v>
      </c>
      <c r="K59" s="11">
        <f>VLOOKUP(B59,RATES!$D$8:'RATES'!$E$116,2,FALSE)</f>
        <v>4447.1099999999997</v>
      </c>
      <c r="L59" s="11">
        <f>VLOOKUP(B59,PFI!$B$7:'PFI'!$C$102,2,FALSE)</f>
        <v>0</v>
      </c>
      <c r="M59" s="29">
        <f t="shared" si="0"/>
        <v>733102.621733887</v>
      </c>
      <c r="N59" s="11">
        <f>SUMIF('2015-16 MFG'!B:B,B59,'2015-16 MFG'!W:W)</f>
        <v>0</v>
      </c>
      <c r="O59" s="11">
        <f>SUMIF('2015-16 MFG'!B:B,B59,'2015-16 MFG'!AC:AC)</f>
        <v>0</v>
      </c>
      <c r="P59" s="29">
        <f t="shared" si="2"/>
        <v>733102.621733887</v>
      </c>
      <c r="Q59" s="11">
        <f ca="1">VLOOKUP(B59,'DE-DEL'!$B$7:'DE-DEL'!$N$101,13,FALSE)</f>
        <v>-15098.08</v>
      </c>
      <c r="R59" s="29">
        <f t="shared" ca="1" si="3"/>
        <v>718004.54173388705</v>
      </c>
      <c r="S59" s="11">
        <v>41780</v>
      </c>
      <c r="T59" s="11">
        <v>248915.39</v>
      </c>
      <c r="U59" s="11">
        <v>25152.21875</v>
      </c>
      <c r="V59" s="11">
        <v>0</v>
      </c>
      <c r="W59" s="11">
        <v>0</v>
      </c>
      <c r="X59" s="11">
        <v>0</v>
      </c>
      <c r="Y59" s="11">
        <v>0</v>
      </c>
      <c r="Z59" s="29">
        <f t="shared" ca="1" si="1"/>
        <v>1033852.1504838871</v>
      </c>
      <c r="AD59" s="11" t="s">
        <v>1182</v>
      </c>
      <c r="AG59" s="11">
        <v>481086.82469999994</v>
      </c>
      <c r="AH59" s="11">
        <v>0</v>
      </c>
      <c r="AI59" s="11">
        <v>711244.17153388693</v>
      </c>
      <c r="AJ59" s="11">
        <f t="shared" si="4"/>
        <v>21858.450200000079</v>
      </c>
      <c r="AM59" s="30">
        <v>2466</v>
      </c>
    </row>
    <row r="60" spans="1:43" s="11" customFormat="1" x14ac:dyDescent="0.2">
      <c r="A60" s="9" t="s">
        <v>60</v>
      </c>
      <c r="B60" s="26">
        <v>3543</v>
      </c>
      <c r="C60" s="11">
        <f>VLOOKUP(B60,AWPU!$B$7:'AWPU'!$N$78,13,FALSE)</f>
        <v>768459.53170000005</v>
      </c>
      <c r="D60" s="11">
        <f>VLOOKUP(B60,DEP!$B$6:'DEP'!$O$101,14,FALSE)</f>
        <v>123594.98125837796</v>
      </c>
      <c r="E60" s="11">
        <f>VLOOKUP(B60,LAC!$B$7:'LAC'!$D$102,3,FALSE)</f>
        <v>2761.4795030508471</v>
      </c>
      <c r="F60" s="11">
        <f>VLOOKUP(B60,LCHI!$B$7:'LCHI'!$D$102,3,FALSE)</f>
        <v>0</v>
      </c>
      <c r="G60" s="11">
        <f>VLOOKUP(B60,EAL!$B$7:'EAL'!$G$101,6,FALSE)</f>
        <v>19191.927851764696</v>
      </c>
      <c r="H60" s="11">
        <f>VLOOKUP(B60,MOB!$B$7:'MOB'!$G$101,6,FALSE)</f>
        <v>0</v>
      </c>
      <c r="I60" s="11">
        <f>VLOOKUP(B60,'LUMP SUM'!$B$7:$C$101,2,FALSE)</f>
        <v>100000</v>
      </c>
      <c r="J60" s="11">
        <f>VLOOKUP(B60,'SPLIT SITE'!$B$7:'SPLIT SITE'!$C$101,2,FALSE)</f>
        <v>0</v>
      </c>
      <c r="K60" s="11">
        <f>VLOOKUP(B60,RATES!$D$8:'RATES'!$E$116,2,FALSE)</f>
        <v>-1078.8619999999992</v>
      </c>
      <c r="L60" s="11">
        <f>VLOOKUP(B60,PFI!$B$7:'PFI'!$C$102,2,FALSE)</f>
        <v>0</v>
      </c>
      <c r="M60" s="29">
        <f t="shared" si="0"/>
        <v>1012929.0583131936</v>
      </c>
      <c r="N60" s="11">
        <f>SUMIF('2015-16 MFG'!B:B,B60,'2015-16 MFG'!W:W)</f>
        <v>0</v>
      </c>
      <c r="O60" s="11">
        <f>SUMIF('2015-16 MFG'!B:B,B60,'2015-16 MFG'!AC:AC)</f>
        <v>0</v>
      </c>
      <c r="P60" s="29">
        <f t="shared" si="2"/>
        <v>1012929.0583131936</v>
      </c>
      <c r="Q60" s="11">
        <f ca="1">VLOOKUP(B60,'DE-DEL'!$B$7:'DE-DEL'!$N$101,13,FALSE)</f>
        <v>-23068.639999999999</v>
      </c>
      <c r="R60" s="29">
        <f t="shared" ca="1" si="3"/>
        <v>989860.4183131936</v>
      </c>
      <c r="S60" s="11">
        <v>27025</v>
      </c>
      <c r="T60" s="11">
        <v>0</v>
      </c>
      <c r="U60" s="11">
        <v>27029.25</v>
      </c>
      <c r="V60" s="11">
        <v>0</v>
      </c>
      <c r="W60" s="11">
        <v>0</v>
      </c>
      <c r="X60" s="11">
        <v>61087.900725631844</v>
      </c>
      <c r="Y60" s="11">
        <v>0</v>
      </c>
      <c r="Z60" s="29">
        <f t="shared" ca="1" si="1"/>
        <v>1105002.5690388253</v>
      </c>
      <c r="AD60" s="11" t="s">
        <v>1183</v>
      </c>
      <c r="AG60" s="11">
        <v>735061.59509999992</v>
      </c>
      <c r="AH60" s="11">
        <v>0</v>
      </c>
      <c r="AI60" s="11">
        <v>979531.12171319348</v>
      </c>
      <c r="AJ60" s="11">
        <f t="shared" si="4"/>
        <v>33397.936600000132</v>
      </c>
      <c r="AM60" s="30">
        <v>3543</v>
      </c>
      <c r="AP60" s="30"/>
      <c r="AQ60" s="30"/>
    </row>
    <row r="61" spans="1:43" s="11" customFormat="1" x14ac:dyDescent="0.2">
      <c r="A61" s="9" t="s">
        <v>62</v>
      </c>
      <c r="B61" s="26">
        <v>3531</v>
      </c>
      <c r="C61" s="11">
        <f>VLOOKUP(B61,AWPU!$B$7:'AWPU'!$N$78,13,FALSE)</f>
        <v>898663.63840000005</v>
      </c>
      <c r="D61" s="11">
        <f>VLOOKUP(B61,DEP!$B$6:'DEP'!$O$101,14,FALSE)</f>
        <v>207144.76071268384</v>
      </c>
      <c r="E61" s="11">
        <f>VLOOKUP(B61,LAC!$B$7:'LAC'!$D$102,3,FALSE)</f>
        <v>0</v>
      </c>
      <c r="F61" s="11">
        <f>VLOOKUP(B61,LCHI!$B$7:'LCHI'!$D$102,3,FALSE)</f>
        <v>0</v>
      </c>
      <c r="G61" s="11">
        <f>VLOOKUP(B61,EAL!$B$7:'EAL'!$G$101,6,FALSE)</f>
        <v>31917.17060662244</v>
      </c>
      <c r="H61" s="11">
        <f>VLOOKUP(B61,MOB!$B$7:'MOB'!$G$101,6,FALSE)</f>
        <v>0</v>
      </c>
      <c r="I61" s="11">
        <f>VLOOKUP(B61,'LUMP SUM'!$B$7:$C$101,2,FALSE)</f>
        <v>100000</v>
      </c>
      <c r="J61" s="11">
        <f>VLOOKUP(B61,'SPLIT SITE'!$B$7:'SPLIT SITE'!$C$101,2,FALSE)</f>
        <v>0</v>
      </c>
      <c r="K61" s="11">
        <f>VLOOKUP(B61,RATES!$D$8:'RATES'!$E$116,2,FALSE)</f>
        <v>2859.3999999999996</v>
      </c>
      <c r="L61" s="11">
        <f>VLOOKUP(B61,PFI!$B$7:'PFI'!$C$102,2,FALSE)</f>
        <v>0</v>
      </c>
      <c r="M61" s="29">
        <f t="shared" si="0"/>
        <v>1240584.9697193063</v>
      </c>
      <c r="N61" s="11">
        <f>SUMIF('2015-16 MFG'!B:B,B61,'2015-16 MFG'!W:W)</f>
        <v>0</v>
      </c>
      <c r="O61" s="11">
        <f>SUMIF('2015-16 MFG'!B:B,B61,'2015-16 MFG'!AC:AC)</f>
        <v>0</v>
      </c>
      <c r="P61" s="29">
        <f t="shared" si="2"/>
        <v>1240584.9697193063</v>
      </c>
      <c r="Q61" s="11">
        <f>VLOOKUP(B61,'DE-DEL'!$B$7:'DE-DEL'!$N$101,13,FALSE)</f>
        <v>0</v>
      </c>
      <c r="R61" s="29">
        <f t="shared" si="3"/>
        <v>1240584.9697193063</v>
      </c>
      <c r="S61" s="11">
        <v>21350</v>
      </c>
      <c r="T61" s="11">
        <v>0</v>
      </c>
      <c r="U61" s="11">
        <v>0</v>
      </c>
      <c r="V61" s="11">
        <v>0</v>
      </c>
      <c r="W61" s="11">
        <v>0</v>
      </c>
      <c r="X61" s="11">
        <v>0</v>
      </c>
      <c r="Y61" s="11">
        <v>0</v>
      </c>
      <c r="Z61" s="29">
        <f t="shared" si="1"/>
        <v>1261934.9697193063</v>
      </c>
      <c r="AD61" s="11" t="s">
        <v>1184</v>
      </c>
      <c r="AG61" s="11">
        <v>859606.91519999993</v>
      </c>
      <c r="AH61" s="11">
        <v>22550.389302981086</v>
      </c>
      <c r="AI61" s="11">
        <v>1224078.6358222873</v>
      </c>
      <c r="AJ61" s="11">
        <f t="shared" si="4"/>
        <v>16506.333897019038</v>
      </c>
      <c r="AM61" s="30">
        <v>3531</v>
      </c>
      <c r="AP61" s="30"/>
      <c r="AQ61" s="30"/>
    </row>
    <row r="62" spans="1:43" s="11" customFormat="1" x14ac:dyDescent="0.2">
      <c r="A62" s="9" t="s">
        <v>103</v>
      </c>
      <c r="B62" s="26">
        <v>3526</v>
      </c>
      <c r="C62" s="11">
        <f>VLOOKUP(B62,AWPU!$B$7:'AWPU'!$N$78,13,FALSE)</f>
        <v>217006.84450000001</v>
      </c>
      <c r="D62" s="11">
        <f>VLOOKUP(B62,DEP!$B$6:'DEP'!$O$101,14,FALSE)</f>
        <v>70101.294303866918</v>
      </c>
      <c r="E62" s="11">
        <f>VLOOKUP(B62,LAC!$B$7:'LAC'!$D$102,3,FALSE)</f>
        <v>0</v>
      </c>
      <c r="F62" s="11">
        <f>VLOOKUP(B62,LCHI!$B$7:'LCHI'!$D$102,3,FALSE)</f>
        <v>0</v>
      </c>
      <c r="G62" s="11">
        <f>VLOOKUP(B62,EAL!$B$7:'EAL'!$G$101,6,FALSE)</f>
        <v>56867.400709090922</v>
      </c>
      <c r="H62" s="11">
        <f>VLOOKUP(B62,MOB!$B$7:'MOB'!$G$101,6,FALSE)</f>
        <v>4198.8799999999683</v>
      </c>
      <c r="I62" s="11">
        <f>VLOOKUP(B62,'LUMP SUM'!$B$7:$C$101,2,FALSE)</f>
        <v>100000</v>
      </c>
      <c r="J62" s="11">
        <f>VLOOKUP(B62,'SPLIT SITE'!$B$7:'SPLIT SITE'!$C$101,2,FALSE)</f>
        <v>0</v>
      </c>
      <c r="K62" s="11">
        <f>VLOOKUP(B62,RATES!$D$8:'RATES'!$E$116,2,FALSE)</f>
        <v>30.903999999999996</v>
      </c>
      <c r="L62" s="11">
        <f>VLOOKUP(B62,PFI!$B$7:'PFI'!$C$102,2,FALSE)</f>
        <v>0</v>
      </c>
      <c r="M62" s="29">
        <f t="shared" si="0"/>
        <v>448205.32351295778</v>
      </c>
      <c r="N62" s="11">
        <f>SUMIF('2015-16 MFG'!B:B,B62,'2015-16 MFG'!W:W)</f>
        <v>0</v>
      </c>
      <c r="O62" s="11">
        <f>SUMIF('2015-16 MFG'!B:B,B62,'2015-16 MFG'!AC:AC)</f>
        <v>0</v>
      </c>
      <c r="P62" s="29">
        <f t="shared" si="2"/>
        <v>448205.32351295778</v>
      </c>
      <c r="Q62" s="11">
        <f ca="1">VLOOKUP(B62,'DE-DEL'!$B$7:'DE-DEL'!$N$101,13,FALSE)</f>
        <v>-6514.4</v>
      </c>
      <c r="R62" s="29">
        <f t="shared" ca="1" si="3"/>
        <v>441690.92351295776</v>
      </c>
      <c r="S62" s="11">
        <v>5000</v>
      </c>
      <c r="T62" s="11">
        <v>0</v>
      </c>
      <c r="U62" s="11">
        <v>0</v>
      </c>
      <c r="V62" s="11">
        <v>0</v>
      </c>
      <c r="W62" s="11">
        <v>0</v>
      </c>
      <c r="X62" s="11">
        <v>72093.737005887378</v>
      </c>
      <c r="Y62" s="11">
        <v>0</v>
      </c>
      <c r="Z62" s="29">
        <f t="shared" ca="1" si="1"/>
        <v>518784.66051884514</v>
      </c>
      <c r="AD62" s="11" t="s">
        <v>1186</v>
      </c>
      <c r="AG62" s="11">
        <v>207575.53349999999</v>
      </c>
      <c r="AH62" s="11">
        <v>0</v>
      </c>
      <c r="AI62" s="11">
        <v>438774.01251295779</v>
      </c>
      <c r="AJ62" s="11">
        <f t="shared" si="4"/>
        <v>9431.310999999987</v>
      </c>
      <c r="AM62" s="30">
        <v>3526</v>
      </c>
    </row>
    <row r="63" spans="1:43" s="11" customFormat="1" x14ac:dyDescent="0.2">
      <c r="A63" s="9" t="s">
        <v>104</v>
      </c>
      <c r="B63" s="26">
        <v>3535</v>
      </c>
      <c r="C63" s="11">
        <f>VLOOKUP(B63,AWPU!$B$7:'AWPU'!$N$78,13,FALSE)</f>
        <v>758247.44490000012</v>
      </c>
      <c r="D63" s="11">
        <f>VLOOKUP(B63,DEP!$B$6:'DEP'!$O$101,14,FALSE)</f>
        <v>278709.04599124624</v>
      </c>
      <c r="E63" s="11">
        <f>VLOOKUP(B63,LAC!$B$7:'LAC'!$D$102,3,FALSE)</f>
        <v>2670.4675076411959</v>
      </c>
      <c r="F63" s="11">
        <f>VLOOKUP(B63,LCHI!$B$7:'LCHI'!$D$102,3,FALSE)</f>
        <v>0</v>
      </c>
      <c r="G63" s="11">
        <f>VLOOKUP(B63,EAL!$B$7:'EAL'!$G$101,6,FALSE)</f>
        <v>71265.857783107989</v>
      </c>
      <c r="H63" s="11">
        <f>VLOOKUP(B63,MOB!$B$7:'MOB'!$G$101,6,FALSE)</f>
        <v>0</v>
      </c>
      <c r="I63" s="11">
        <f>VLOOKUP(B63,'LUMP SUM'!$B$7:$C$101,2,FALSE)</f>
        <v>100000</v>
      </c>
      <c r="J63" s="11">
        <f>VLOOKUP(B63,'SPLIT SITE'!$B$7:'SPLIT SITE'!$C$101,2,FALSE)</f>
        <v>0</v>
      </c>
      <c r="K63" s="11">
        <f>VLOOKUP(B63,RATES!$D$8:'RATES'!$E$116,2,FALSE)</f>
        <v>861.75199999999882</v>
      </c>
      <c r="L63" s="11">
        <f>VLOOKUP(B63,PFI!$B$7:'PFI'!$C$102,2,FALSE)</f>
        <v>0</v>
      </c>
      <c r="M63" s="29">
        <f t="shared" si="0"/>
        <v>1211754.5681819955</v>
      </c>
      <c r="N63" s="11">
        <f>SUMIF('2015-16 MFG'!B:B,B63,'2015-16 MFG'!W:W)</f>
        <v>74000.378779548453</v>
      </c>
      <c r="O63" s="11">
        <f>SUMIF('2015-16 MFG'!B:B,B63,'2015-16 MFG'!AC:AC)</f>
        <v>0</v>
      </c>
      <c r="P63" s="29">
        <f t="shared" si="2"/>
        <v>1285754.946961544</v>
      </c>
      <c r="Q63" s="11">
        <f ca="1">VLOOKUP(B63,'DE-DEL'!$B$7:'DE-DEL'!$N$101,13,FALSE)</f>
        <v>-22762.080000000002</v>
      </c>
      <c r="R63" s="29">
        <f t="shared" ca="1" si="3"/>
        <v>1262992.8669615439</v>
      </c>
      <c r="S63" s="11">
        <v>0</v>
      </c>
      <c r="T63" s="11">
        <v>0</v>
      </c>
      <c r="U63" s="11">
        <v>12763.8125</v>
      </c>
      <c r="V63" s="11">
        <v>0</v>
      </c>
      <c r="W63" s="11">
        <v>0</v>
      </c>
      <c r="X63" s="11">
        <v>0</v>
      </c>
      <c r="Y63" s="11">
        <v>0</v>
      </c>
      <c r="Z63" s="29">
        <f t="shared" ca="1" si="1"/>
        <v>1275756.6794615439</v>
      </c>
      <c r="AD63" s="11" t="s">
        <v>1187</v>
      </c>
      <c r="AG63" s="11">
        <v>725293.33469999989</v>
      </c>
      <c r="AH63" s="11">
        <v>106954.48897954868</v>
      </c>
      <c r="AI63" s="11">
        <v>1285754.946961544</v>
      </c>
      <c r="AJ63" s="11">
        <f t="shared" si="4"/>
        <v>0</v>
      </c>
      <c r="AM63" s="30">
        <v>3535</v>
      </c>
    </row>
    <row r="64" spans="1:43" s="11" customFormat="1" x14ac:dyDescent="0.2">
      <c r="A64" s="12" t="s">
        <v>64</v>
      </c>
      <c r="B64" s="26">
        <v>2008</v>
      </c>
      <c r="C64" s="11">
        <f>VLOOKUP(B64,AWPU!$B$7:'AWPU'!$N$78,13,FALSE)</f>
        <v>582088.94760000007</v>
      </c>
      <c r="D64" s="11">
        <f>VLOOKUP(B64,DEP!$B$6:'DEP'!$O$101,14,FALSE)</f>
        <v>150225.51186133901</v>
      </c>
      <c r="E64" s="11">
        <f>VLOOKUP(B64,LAC!$B$7:'LAC'!$D$102,3,FALSE)</f>
        <v>0</v>
      </c>
      <c r="F64" s="11">
        <f>VLOOKUP(B64,LCHI!$B$7:'LCHI'!$D$102,3,FALSE)</f>
        <v>0</v>
      </c>
      <c r="G64" s="11">
        <f>VLOOKUP(B64,EAL!$B$7:'EAL'!$G$101,6,FALSE)</f>
        <v>14780.856545454555</v>
      </c>
      <c r="H64" s="11">
        <f>VLOOKUP(B64,MOB!$B$7:'MOB'!$G$101,6,FALSE)</f>
        <v>0</v>
      </c>
      <c r="I64" s="11">
        <f>VLOOKUP(B64,'LUMP SUM'!$B$7:$C$101,2,FALSE)</f>
        <v>100000</v>
      </c>
      <c r="J64" s="11">
        <f>VLOOKUP(B64,'SPLIT SITE'!$B$7:'SPLIT SITE'!$C$101,2,FALSE)</f>
        <v>0</v>
      </c>
      <c r="K64" s="11">
        <f>VLOOKUP(B64,RATES!$D$8:'RATES'!$E$116,2,FALSE)</f>
        <v>1972</v>
      </c>
      <c r="L64" s="11">
        <f>VLOOKUP(B64,PFI!$B$7:'PFI'!$C$102,2,FALSE)</f>
        <v>0</v>
      </c>
      <c r="M64" s="29">
        <f t="shared" si="0"/>
        <v>849067.31600679364</v>
      </c>
      <c r="N64" s="11">
        <f>SUMIF('2015-16 MFG'!B:B,B64,'2015-16 MFG'!W:W)</f>
        <v>15067.308474244666</v>
      </c>
      <c r="O64" s="11">
        <f>SUMIF('2015-16 MFG'!B:B,B64,'2015-16 MFG'!AC:AC)</f>
        <v>0</v>
      </c>
      <c r="P64" s="29">
        <f t="shared" si="2"/>
        <v>864134.62448103831</v>
      </c>
      <c r="Q64" s="11">
        <f>VLOOKUP(B64,'DE-DEL'!$B$7:'DE-DEL'!$N$101,13,FALSE)</f>
        <v>0</v>
      </c>
      <c r="R64" s="29">
        <f t="shared" si="3"/>
        <v>864134.62448103831</v>
      </c>
      <c r="S64" s="11">
        <v>5000</v>
      </c>
      <c r="T64" s="11">
        <v>0</v>
      </c>
      <c r="U64" s="11">
        <v>6006.5</v>
      </c>
      <c r="V64" s="11">
        <v>0</v>
      </c>
      <c r="W64" s="11">
        <v>0</v>
      </c>
      <c r="X64" s="11">
        <v>0</v>
      </c>
      <c r="Y64" s="11">
        <v>0</v>
      </c>
      <c r="Z64" s="29">
        <f t="shared" si="1"/>
        <v>875141.12448103831</v>
      </c>
      <c r="AD64" s="11" t="s">
        <v>1188</v>
      </c>
      <c r="AG64" s="11">
        <v>556790.84279999998</v>
      </c>
      <c r="AH64" s="11">
        <v>40365.413274244755</v>
      </c>
      <c r="AI64" s="11">
        <v>864134.62448103831</v>
      </c>
      <c r="AJ64" s="11">
        <f t="shared" si="4"/>
        <v>0</v>
      </c>
      <c r="AM64" s="30">
        <v>2008</v>
      </c>
    </row>
    <row r="65" spans="1:39 16384:16384" s="11" customFormat="1" x14ac:dyDescent="0.2">
      <c r="A65" s="9" t="s">
        <v>105</v>
      </c>
      <c r="B65" s="26">
        <v>3542</v>
      </c>
      <c r="C65" s="11">
        <f>VLOOKUP(B65,AWPU!$B$7:'AWPU'!$N$78,13,FALSE)</f>
        <v>896110.61670000013</v>
      </c>
      <c r="D65" s="11">
        <f>VLOOKUP(B65,DEP!$B$6:'DEP'!$O$101,14,FALSE)</f>
        <v>185286.39965452373</v>
      </c>
      <c r="E65" s="11">
        <f>VLOOKUP(B65,LAC!$B$7:'LAC'!$D$102,3,FALSE)</f>
        <v>3969.184359610028</v>
      </c>
      <c r="F65" s="11">
        <f>VLOOKUP(B65,LCHI!$B$7:'LCHI'!$D$102,3,FALSE)</f>
        <v>0</v>
      </c>
      <c r="G65" s="11">
        <f>VLOOKUP(B65,EAL!$B$7:'EAL'!$G$101,6,FALSE)</f>
        <v>78832.699469102896</v>
      </c>
      <c r="H65" s="11">
        <f>VLOOKUP(B65,MOB!$B$7:'MOB'!$G$101,6,FALSE)</f>
        <v>0</v>
      </c>
      <c r="I65" s="11">
        <f>VLOOKUP(B65,'LUMP SUM'!$B$7:$C$101,2,FALSE)</f>
        <v>100000</v>
      </c>
      <c r="J65" s="11">
        <f>VLOOKUP(B65,'SPLIT SITE'!$B$7:'SPLIT SITE'!$C$101,2,FALSE)</f>
        <v>0</v>
      </c>
      <c r="K65" s="11">
        <f>VLOOKUP(B65,RATES!$D$8:'RATES'!$E$116,2,FALSE)</f>
        <v>2266.1320000000019</v>
      </c>
      <c r="L65" s="11">
        <f>VLOOKUP(B65,PFI!$B$7:'PFI'!$C$102,2,FALSE)</f>
        <v>0</v>
      </c>
      <c r="M65" s="29">
        <f t="shared" si="0"/>
        <v>1266465.0321832367</v>
      </c>
      <c r="N65" s="11">
        <f>SUMIF('2015-16 MFG'!B:B,B65,'2015-16 MFG'!W:W)</f>
        <v>0</v>
      </c>
      <c r="O65" s="11">
        <f>SUMIF('2015-16 MFG'!B:B,B65,'2015-16 MFG'!AC:AC)</f>
        <v>0</v>
      </c>
      <c r="P65" s="29">
        <f t="shared" si="2"/>
        <v>1266465.0321832367</v>
      </c>
      <c r="Q65" s="11">
        <f ca="1">VLOOKUP(B65,'DE-DEL'!$B$7:'DE-DEL'!$N$101,13,FALSE)</f>
        <v>-26900.639999999999</v>
      </c>
      <c r="R65" s="29">
        <f t="shared" ca="1" si="3"/>
        <v>1239564.3921832368</v>
      </c>
      <c r="S65" s="11">
        <v>21350</v>
      </c>
      <c r="T65" s="11">
        <v>0</v>
      </c>
      <c r="U65" s="11">
        <v>18770.3125</v>
      </c>
      <c r="V65" s="11">
        <v>0</v>
      </c>
      <c r="W65" s="11">
        <v>0</v>
      </c>
      <c r="X65" s="11">
        <v>0</v>
      </c>
      <c r="Y65" s="11">
        <v>0</v>
      </c>
      <c r="Z65" s="29">
        <f t="shared" ref="Z65:Z71" ca="1" si="5">SUM(R65:Y65)</f>
        <v>1279684.7046832368</v>
      </c>
      <c r="AD65" s="11" t="s">
        <v>1190</v>
      </c>
      <c r="AG65" s="11">
        <v>857164.85009999992</v>
      </c>
      <c r="AH65" s="11">
        <v>0</v>
      </c>
      <c r="AI65" s="11">
        <v>1227519.2655832365</v>
      </c>
      <c r="AJ65" s="11">
        <f t="shared" si="4"/>
        <v>38945.766600000206</v>
      </c>
      <c r="AM65" s="30">
        <v>3542</v>
      </c>
    </row>
    <row r="66" spans="1:39 16384:16384" s="11" customFormat="1" x14ac:dyDescent="0.2">
      <c r="A66" s="9" t="s">
        <v>106</v>
      </c>
      <c r="B66" s="26">
        <v>3528</v>
      </c>
      <c r="C66" s="11">
        <f>VLOOKUP(B66,AWPU!$B$7:'AWPU'!$N$78,13,FALSE)</f>
        <v>885898.52990000008</v>
      </c>
      <c r="D66" s="11">
        <f>VLOOKUP(B66,DEP!$B$6:'DEP'!$O$101,14,FALSE)</f>
        <v>179142.22608962678</v>
      </c>
      <c r="E66" s="11">
        <f>VLOOKUP(B66,LAC!$B$7:'LAC'!$D$102,3,FALSE)</f>
        <v>2630.6229406162465</v>
      </c>
      <c r="F66" s="11">
        <f>VLOOKUP(B66,LCHI!$B$7:'LCHI'!$D$102,3,FALSE)</f>
        <v>0</v>
      </c>
      <c r="G66" s="11">
        <f>VLOOKUP(B66,EAL!$B$7:'EAL'!$G$101,6,FALSE)</f>
        <v>56947.326032876634</v>
      </c>
      <c r="H66" s="11">
        <f>VLOOKUP(B66,MOB!$B$7:'MOB'!$G$101,6,FALSE)</f>
        <v>14756.064000000191</v>
      </c>
      <c r="I66" s="11">
        <f>VLOOKUP(B66,'LUMP SUM'!$B$7:$C$101,2,FALSE)</f>
        <v>100000</v>
      </c>
      <c r="J66" s="11">
        <f>VLOOKUP(B66,'SPLIT SITE'!$B$7:'SPLIT SITE'!$C$101,2,FALSE)</f>
        <v>0</v>
      </c>
      <c r="K66" s="11">
        <f>VLOOKUP(B66,RATES!$D$8:'RATES'!$E$116,2,FALSE)</f>
        <v>4153.7399999999989</v>
      </c>
      <c r="L66" s="11">
        <f>VLOOKUP(B66,PFI!$B$7:'PFI'!$C$102,2,FALSE)</f>
        <v>0</v>
      </c>
      <c r="M66" s="29">
        <f t="shared" ref="M66:M72" si="6">SUM(C66:L66)</f>
        <v>1243528.5089631202</v>
      </c>
      <c r="N66" s="11">
        <f>SUMIF('2015-16 MFG'!B:B,B66,'2015-16 MFG'!W:W)</f>
        <v>0</v>
      </c>
      <c r="O66" s="11">
        <f>SUMIF('2015-16 MFG'!B:B,B66,'2015-16 MFG'!AC:AC)</f>
        <v>0</v>
      </c>
      <c r="P66" s="29">
        <f t="shared" si="2"/>
        <v>1243528.5089631202</v>
      </c>
      <c r="Q66" s="11">
        <f ca="1">VLOOKUP(B66,'DE-DEL'!$B$7:'DE-DEL'!$N$101,13,FALSE)</f>
        <v>-26594.080000000002</v>
      </c>
      <c r="R66" s="29">
        <f t="shared" ca="1" si="3"/>
        <v>1216934.4289631201</v>
      </c>
      <c r="S66" s="11">
        <v>20215</v>
      </c>
      <c r="T66" s="11">
        <v>0</v>
      </c>
      <c r="U66" s="11">
        <v>6256.7708333333339</v>
      </c>
      <c r="V66" s="11">
        <v>0</v>
      </c>
      <c r="W66" s="11">
        <v>0</v>
      </c>
      <c r="X66" s="11">
        <v>54774.527063549707</v>
      </c>
      <c r="Y66" s="11">
        <v>0</v>
      </c>
      <c r="Z66" s="29">
        <f t="shared" ca="1" si="5"/>
        <v>1298180.7268600031</v>
      </c>
      <c r="AD66" s="11" t="s">
        <v>1191</v>
      </c>
      <c r="AG66" s="11">
        <v>847396.58969999989</v>
      </c>
      <c r="AH66" s="11">
        <v>0</v>
      </c>
      <c r="AI66" s="11">
        <v>1205026.5687631199</v>
      </c>
      <c r="AJ66" s="11">
        <f t="shared" si="4"/>
        <v>38501.940200000303</v>
      </c>
      <c r="AM66" s="30">
        <v>3528</v>
      </c>
    </row>
    <row r="67" spans="1:39 16384:16384" s="11" customFormat="1" x14ac:dyDescent="0.2">
      <c r="A67" s="9" t="s">
        <v>107</v>
      </c>
      <c r="B67" s="26">
        <v>3534</v>
      </c>
      <c r="C67" s="11">
        <f>VLOOKUP(B67,AWPU!$B$7:'AWPU'!$N$78,13,FALSE)</f>
        <v>622937.29480000003</v>
      </c>
      <c r="D67" s="11">
        <f>VLOOKUP(B67,DEP!$B$6:'DEP'!$O$101,14,FALSE)</f>
        <v>53342.269909659502</v>
      </c>
      <c r="E67" s="11">
        <f>VLOOKUP(B67,LAC!$B$7:'LAC'!$D$102,3,FALSE)</f>
        <v>0</v>
      </c>
      <c r="F67" s="11">
        <f>VLOOKUP(B67,LCHI!$B$7:'LCHI'!$D$102,3,FALSE)</f>
        <v>0</v>
      </c>
      <c r="G67" s="11">
        <f>VLOOKUP(B67,EAL!$B$7:'EAL'!$G$101,6,FALSE)</f>
        <v>13978.178892050215</v>
      </c>
      <c r="H67" s="11">
        <f>VLOOKUP(B67,MOB!$B$7:'MOB'!$G$101,6,FALSE)</f>
        <v>0</v>
      </c>
      <c r="I67" s="11">
        <f>VLOOKUP(B67,'LUMP SUM'!$B$7:$C$101,2,FALSE)</f>
        <v>100000</v>
      </c>
      <c r="J67" s="11">
        <f>VLOOKUP(B67,'SPLIT SITE'!$B$7:'SPLIT SITE'!$C$101,2,FALSE)</f>
        <v>0</v>
      </c>
      <c r="K67" s="11">
        <f>VLOOKUP(B67,RATES!$D$8:'RATES'!$E$116,2,FALSE)</f>
        <v>1042.0380000000011</v>
      </c>
      <c r="L67" s="11">
        <f>VLOOKUP(B67,PFI!$B$7:'PFI'!$C$102,2,FALSE)</f>
        <v>0</v>
      </c>
      <c r="M67" s="29">
        <f t="shared" si="6"/>
        <v>791299.78160170978</v>
      </c>
      <c r="N67" s="11">
        <f>SUMIF('2015-16 MFG'!B:B,B67,'2015-16 MFG'!W:W)</f>
        <v>0</v>
      </c>
      <c r="O67" s="11">
        <f>SUMIF('2015-16 MFG'!B:B,B67,'2015-16 MFG'!AC:AC)</f>
        <v>0</v>
      </c>
      <c r="P67" s="29">
        <f t="shared" ref="P67:P71" si="7">SUM(M67:O67)</f>
        <v>791299.78160170978</v>
      </c>
      <c r="Q67" s="11">
        <f ca="1">VLOOKUP(B67,'DE-DEL'!$B$7:'DE-DEL'!$N$101,13,FALSE)</f>
        <v>-18700.16</v>
      </c>
      <c r="R67" s="29">
        <f t="shared" ref="R67:R72" ca="1" si="8">SUM(P67+Q67)</f>
        <v>772599.62160170975</v>
      </c>
      <c r="S67" s="11">
        <v>0</v>
      </c>
      <c r="T67" s="11">
        <v>0</v>
      </c>
      <c r="U67" s="11">
        <v>2502.7083333333335</v>
      </c>
      <c r="V67" s="11">
        <v>0</v>
      </c>
      <c r="W67" s="11">
        <v>0</v>
      </c>
      <c r="X67" s="11">
        <v>0</v>
      </c>
      <c r="Y67" s="11">
        <v>0</v>
      </c>
      <c r="Z67" s="29">
        <f t="shared" ca="1" si="5"/>
        <v>775102.32993504312</v>
      </c>
      <c r="AD67" s="11" t="s">
        <v>1192</v>
      </c>
      <c r="AG67" s="11">
        <v>595863.88439999998</v>
      </c>
      <c r="AH67" s="11">
        <v>13773.781339889392</v>
      </c>
      <c r="AI67" s="11">
        <v>778000.15254159912</v>
      </c>
      <c r="AJ67" s="11">
        <f t="shared" ref="AJ67:AJ72" si="9">P67-AI67</f>
        <v>13299.629060110659</v>
      </c>
      <c r="AM67" s="30">
        <v>3534</v>
      </c>
    </row>
    <row r="68" spans="1:39 16384:16384" s="11" customFormat="1" x14ac:dyDescent="0.2">
      <c r="A68" s="9" t="s">
        <v>108</v>
      </c>
      <c r="B68" s="26">
        <v>3532</v>
      </c>
      <c r="C68" s="11">
        <f>VLOOKUP(B68,AWPU!$B$7:'AWPU'!$N$78,13,FALSE)</f>
        <v>791436.72700000007</v>
      </c>
      <c r="D68" s="11">
        <f>VLOOKUP(B68,DEP!$B$6:'DEP'!$O$101,14,FALSE)</f>
        <v>43326.437753145437</v>
      </c>
      <c r="E68" s="11">
        <f>VLOOKUP(B68,LAC!$B$7:'LAC'!$D$102,3,FALSE)</f>
        <v>1384.4791320132013</v>
      </c>
      <c r="F68" s="11">
        <f>VLOOKUP(B68,LCHI!$B$7:'LCHI'!$D$102,3,FALSE)</f>
        <v>0</v>
      </c>
      <c r="G68" s="11">
        <f>VLOOKUP(B68,EAL!$B$7:'EAL'!$G$101,6,FALSE)</f>
        <v>0</v>
      </c>
      <c r="H68" s="11">
        <f>VLOOKUP(B68,MOB!$B$7:'MOB'!$G$101,6,FALSE)</f>
        <v>0</v>
      </c>
      <c r="I68" s="11">
        <f>VLOOKUP(B68,'LUMP SUM'!$B$7:$C$101,2,FALSE)</f>
        <v>100000</v>
      </c>
      <c r="J68" s="11">
        <f>VLOOKUP(B68,'SPLIT SITE'!$B$7:'SPLIT SITE'!$C$101,2,FALSE)</f>
        <v>0</v>
      </c>
      <c r="K68" s="11">
        <f>VLOOKUP(B68,RATES!$D$8:'RATES'!$E$116,2,FALSE)</f>
        <v>233.01800000000185</v>
      </c>
      <c r="L68" s="11">
        <f>VLOOKUP(B68,PFI!$B$7:'PFI'!$C$102,2,FALSE)</f>
        <v>0</v>
      </c>
      <c r="M68" s="29">
        <f t="shared" si="6"/>
        <v>936380.66188515874</v>
      </c>
      <c r="N68" s="11">
        <f>SUMIF('2015-16 MFG'!B:B,B68,'2015-16 MFG'!W:W)</f>
        <v>0</v>
      </c>
      <c r="O68" s="11">
        <f>SUMIF('2015-16 MFG'!B:B,B68,'2015-16 MFG'!AC:AC)</f>
        <v>0</v>
      </c>
      <c r="P68" s="29">
        <f t="shared" si="7"/>
        <v>936380.66188515874</v>
      </c>
      <c r="Q68" s="11">
        <f ca="1">VLOOKUP(B68,'DE-DEL'!$B$7:'DE-DEL'!$N$101,13,FALSE)</f>
        <v>-23758.400000000001</v>
      </c>
      <c r="R68" s="29">
        <f t="shared" ca="1" si="8"/>
        <v>912622.26188515872</v>
      </c>
      <c r="S68" s="11">
        <v>25890</v>
      </c>
      <c r="T68" s="11">
        <v>0</v>
      </c>
      <c r="U68" s="11">
        <v>0</v>
      </c>
      <c r="V68" s="11">
        <v>0</v>
      </c>
      <c r="W68" s="11">
        <v>0</v>
      </c>
      <c r="X68" s="11">
        <v>0</v>
      </c>
      <c r="Y68" s="11">
        <v>0</v>
      </c>
      <c r="Z68" s="29">
        <f t="shared" ca="1" si="5"/>
        <v>938512.26188515872</v>
      </c>
      <c r="AD68" s="11" t="s">
        <v>1193</v>
      </c>
      <c r="AG68" s="11">
        <v>757040.18099999998</v>
      </c>
      <c r="AH68" s="11">
        <v>14931.930166545557</v>
      </c>
      <c r="AI68" s="11">
        <v>916916.04605170421</v>
      </c>
      <c r="AJ68" s="11">
        <f t="shared" si="9"/>
        <v>19464.615833454533</v>
      </c>
      <c r="AM68" s="30">
        <v>3532</v>
      </c>
    </row>
    <row r="69" spans="1:39 16384:16384" s="11" customFormat="1" x14ac:dyDescent="0.2">
      <c r="A69" s="9" t="s">
        <v>65</v>
      </c>
      <c r="B69" s="26">
        <v>3546</v>
      </c>
      <c r="C69" s="11">
        <f>VLOOKUP(B69,AWPU!$B$7:'AWPU'!$N$78,13,FALSE)</f>
        <v>1393949.8482000001</v>
      </c>
      <c r="D69" s="11">
        <f>VLOOKUP(B69,DEP!$B$6:'DEP'!$O$101,14,FALSE)</f>
        <v>512146.02222263947</v>
      </c>
      <c r="E69" s="11">
        <f>VLOOKUP(B69,LAC!$B$7:'LAC'!$D$102,3,FALSE)</f>
        <v>2731.4466476894636</v>
      </c>
      <c r="F69" s="11">
        <f>VLOOKUP(B69,LCHI!$B$7:'LCHI'!$D$102,3,FALSE)</f>
        <v>0</v>
      </c>
      <c r="G69" s="11">
        <f>VLOOKUP(B69,EAL!$B$7:'EAL'!$G$101,6,FALSE)</f>
        <v>101661.1754400002</v>
      </c>
      <c r="H69" s="11">
        <f>VLOOKUP(B69,MOB!$B$7:'MOB'!$G$101,6,FALSE)</f>
        <v>0</v>
      </c>
      <c r="I69" s="11">
        <f>VLOOKUP(B69,'LUMP SUM'!$B$7:$C$101,2,FALSE)</f>
        <v>100000</v>
      </c>
      <c r="J69" s="11">
        <f>VLOOKUP(B69,'SPLIT SITE'!$B$7:'SPLIT SITE'!$C$101,2,FALSE)</f>
        <v>0</v>
      </c>
      <c r="K69" s="11">
        <f>VLOOKUP(B69,RATES!$D$8:'RATES'!$E$116,2,FALSE)</f>
        <v>-24974.98000000001</v>
      </c>
      <c r="L69" s="11">
        <f>VLOOKUP(B69,PFI!$B$7:'PFI'!$C$102,2,FALSE)</f>
        <v>0</v>
      </c>
      <c r="M69" s="29">
        <f t="shared" si="6"/>
        <v>2085513.512510329</v>
      </c>
      <c r="N69" s="11">
        <f>SUMIF('2015-16 MFG'!B:B,B69,'2015-16 MFG'!W:W)</f>
        <v>100314.92041748483</v>
      </c>
      <c r="O69" s="11">
        <f>SUMIF('2015-16 MFG'!B:B,B69,'2015-16 MFG'!AC:AC)</f>
        <v>0</v>
      </c>
      <c r="P69" s="29">
        <f t="shared" si="7"/>
        <v>2185828.4329278138</v>
      </c>
      <c r="Q69" s="11">
        <f ca="1">VLOOKUP(B69,'DE-DEL'!$B$7:'DE-DEL'!$N$101,13,FALSE)</f>
        <v>-41845.440000000002</v>
      </c>
      <c r="R69" s="29">
        <f t="shared" ca="1" si="8"/>
        <v>2143982.9929278139</v>
      </c>
      <c r="S69" s="11">
        <v>52915</v>
      </c>
      <c r="T69" s="11">
        <v>0</v>
      </c>
      <c r="U69" s="11">
        <v>22524.375</v>
      </c>
      <c r="V69" s="11">
        <v>0</v>
      </c>
      <c r="W69" s="11">
        <v>0</v>
      </c>
      <c r="X69" s="11">
        <v>171730.33436051582</v>
      </c>
      <c r="Y69" s="11">
        <v>0</v>
      </c>
      <c r="Z69" s="29">
        <f t="shared" ca="1" si="5"/>
        <v>2391152.7022883296</v>
      </c>
      <c r="AD69" s="11" t="s">
        <v>1195</v>
      </c>
      <c r="AG69" s="11">
        <v>1333367.5445999999</v>
      </c>
      <c r="AH69" s="11">
        <v>160897.22401748481</v>
      </c>
      <c r="AI69" s="11">
        <v>2185828.4329278138</v>
      </c>
      <c r="AJ69" s="11">
        <f t="shared" si="9"/>
        <v>0</v>
      </c>
      <c r="AM69" s="30">
        <v>3546</v>
      </c>
    </row>
    <row r="70" spans="1:39 16384:16384" s="11" customFormat="1" x14ac:dyDescent="0.2">
      <c r="A70" s="9" t="s">
        <v>109</v>
      </c>
      <c r="B70" s="26">
        <v>3530</v>
      </c>
      <c r="C70" s="11">
        <f>VLOOKUP(B70,AWPU!$B$7:'AWPU'!$N$78,13,FALSE)</f>
        <v>809307.87890000013</v>
      </c>
      <c r="D70" s="11">
        <f>VLOOKUP(B70,DEP!$B$6:'DEP'!$O$101,14,FALSE)</f>
        <v>23874.437553166073</v>
      </c>
      <c r="E70" s="11">
        <f>VLOOKUP(B70,LAC!$B$7:'LAC'!$D$102,3,FALSE)</f>
        <v>2812.9160255737702</v>
      </c>
      <c r="F70" s="11">
        <f>VLOOKUP(B70,LCHI!$B$7:'LCHI'!$D$102,3,FALSE)</f>
        <v>0</v>
      </c>
      <c r="G70" s="11">
        <f>VLOOKUP(B70,EAL!$B$7:'EAL'!$G$101,6,FALSE)</f>
        <v>1043.3369792307703</v>
      </c>
      <c r="H70" s="11">
        <f>VLOOKUP(B70,MOB!$B$7:'MOB'!$G$101,6,FALSE)</f>
        <v>0</v>
      </c>
      <c r="I70" s="11">
        <f>VLOOKUP(B70,'LUMP SUM'!$B$7:$C$101,2,FALSE)</f>
        <v>100000</v>
      </c>
      <c r="J70" s="11">
        <f>VLOOKUP(B70,'SPLIT SITE'!$B$7:'SPLIT SITE'!$C$101,2,FALSE)</f>
        <v>0</v>
      </c>
      <c r="K70" s="11">
        <f>VLOOKUP(B70,RATES!$D$8:'RATES'!$E$116,2,FALSE)</f>
        <v>855.97200000000089</v>
      </c>
      <c r="L70" s="11">
        <f>VLOOKUP(B70,PFI!$B$7:'PFI'!$C$102,2,FALSE)</f>
        <v>0</v>
      </c>
      <c r="M70" s="29">
        <f t="shared" si="6"/>
        <v>937894.54145797063</v>
      </c>
      <c r="N70" s="11">
        <f>SUMIF('2015-16 MFG'!B:B,B70,'2015-16 MFG'!W:W)</f>
        <v>0</v>
      </c>
      <c r="O70" s="11">
        <f>SUMIF('2015-16 MFG'!B:B,B70,'2015-16 MFG'!AC:AC)</f>
        <v>0</v>
      </c>
      <c r="P70" s="29">
        <f t="shared" si="7"/>
        <v>937894.54145797063</v>
      </c>
      <c r="Q70" s="11">
        <f ca="1">VLOOKUP(B70,'DE-DEL'!$B$7:'DE-DEL'!$N$101,13,FALSE)</f>
        <v>-24294.880000000001</v>
      </c>
      <c r="R70" s="29">
        <f t="shared" ca="1" si="8"/>
        <v>913599.66145797062</v>
      </c>
      <c r="S70" s="11">
        <v>15675</v>
      </c>
      <c r="T70" s="11">
        <v>0</v>
      </c>
      <c r="U70" s="11">
        <v>13514.625</v>
      </c>
      <c r="V70" s="11">
        <v>0</v>
      </c>
      <c r="W70" s="11">
        <v>0</v>
      </c>
      <c r="X70" s="11">
        <v>107075.5926754949</v>
      </c>
      <c r="Y70" s="11">
        <v>0</v>
      </c>
      <c r="Z70" s="29">
        <f t="shared" ca="1" si="5"/>
        <v>1049864.8791334655</v>
      </c>
      <c r="AD70" s="11" t="s">
        <v>1198</v>
      </c>
      <c r="AG70" s="11">
        <v>774134.63669999992</v>
      </c>
      <c r="AH70" s="11">
        <v>0</v>
      </c>
      <c r="AI70" s="11">
        <v>902721.29925797042</v>
      </c>
      <c r="AJ70" s="11">
        <f t="shared" si="9"/>
        <v>35173.242200000212</v>
      </c>
      <c r="AM70" s="30">
        <v>3530</v>
      </c>
    </row>
    <row r="71" spans="1:39 16384:16384" s="11" customFormat="1" x14ac:dyDescent="0.2">
      <c r="A71" s="9" t="s">
        <v>67</v>
      </c>
      <c r="B71" s="26">
        <v>2459</v>
      </c>
      <c r="C71" s="11">
        <f>VLOOKUP(B71,AWPU!$B$7:'AWPU'!$N$78,13,FALSE)</f>
        <v>995678.46300000011</v>
      </c>
      <c r="D71" s="11">
        <f>VLOOKUP(B71,DEP!$B$6:'DEP'!$O$101,14,FALSE)</f>
        <v>38017.78671839492</v>
      </c>
      <c r="E71" s="11">
        <f>VLOOKUP(B71,LAC!$B$7:'LAC'!$D$102,3,FALSE)</f>
        <v>2720.3840876288659</v>
      </c>
      <c r="F71" s="11">
        <f>VLOOKUP(B71,LCHI!$B$7:'LCHI'!$D$102,3,FALSE)</f>
        <v>0</v>
      </c>
      <c r="G71" s="11">
        <f>VLOOKUP(B71,EAL!$B$7:'EAL'!$G$101,6,FALSE)</f>
        <v>15939.638543283567</v>
      </c>
      <c r="H71" s="11">
        <f>VLOOKUP(B71,MOB!$B$7:'MOB'!$G$101,6,FALSE)</f>
        <v>0</v>
      </c>
      <c r="I71" s="11">
        <f>VLOOKUP(B71,'LUMP SUM'!$B$7:$C$101,2,FALSE)</f>
        <v>100000</v>
      </c>
      <c r="J71" s="11">
        <f>VLOOKUP(B71,'SPLIT SITE'!$B$7:'SPLIT SITE'!$C$101,2,FALSE)</f>
        <v>0</v>
      </c>
      <c r="K71" s="11">
        <f>VLOOKUP(B71,RATES!$D$8:'RATES'!$E$116,2,FALSE)</f>
        <v>1014.8200000000015</v>
      </c>
      <c r="L71" s="11">
        <f>VLOOKUP(B71,PFI!$B$7:'PFI'!$C$102,2,FALSE)</f>
        <v>0</v>
      </c>
      <c r="M71" s="29">
        <f t="shared" si="6"/>
        <v>1153371.0923493076</v>
      </c>
      <c r="N71" s="11">
        <f>SUMIF('2015-16 MFG'!B:B,B71,'2015-16 MFG'!W:W)</f>
        <v>0</v>
      </c>
      <c r="O71" s="11">
        <f>SUMIF('2015-16 MFG'!B:B,B71,'2015-16 MFG'!AC:AC)</f>
        <v>0</v>
      </c>
      <c r="P71" s="29">
        <f t="shared" si="7"/>
        <v>1153371.0923493076</v>
      </c>
      <c r="Q71" s="11">
        <f ca="1">VLOOKUP(B71,'DE-DEL'!$B$7:'DE-DEL'!$N$101,13,FALSE)</f>
        <v>-29889.599999999999</v>
      </c>
      <c r="R71" s="29">
        <f t="shared" ca="1" si="8"/>
        <v>1123481.4923493075</v>
      </c>
      <c r="S71" s="11">
        <v>15675</v>
      </c>
      <c r="T71" s="11">
        <v>0</v>
      </c>
      <c r="U71" s="11">
        <v>13514.625</v>
      </c>
      <c r="V71" s="11">
        <v>0</v>
      </c>
      <c r="W71" s="11">
        <v>0</v>
      </c>
      <c r="X71" s="11">
        <v>0</v>
      </c>
      <c r="Y71" s="11">
        <v>0</v>
      </c>
      <c r="Z71" s="29">
        <f t="shared" ca="1" si="5"/>
        <v>1152671.1173493075</v>
      </c>
      <c r="AD71" s="11" t="s">
        <v>1199</v>
      </c>
      <c r="AG71" s="11">
        <v>952405.38899999997</v>
      </c>
      <c r="AH71" s="11">
        <v>5655.7204020076897</v>
      </c>
      <c r="AI71" s="11">
        <v>1115753.738751315</v>
      </c>
      <c r="AJ71" s="11">
        <f t="shared" si="9"/>
        <v>37617.353597992565</v>
      </c>
      <c r="AM71" s="30">
        <v>2459</v>
      </c>
    </row>
    <row r="72" spans="1:39 16384:16384" s="11" customFormat="1" x14ac:dyDescent="0.2">
      <c r="A72" s="9" t="s">
        <v>912</v>
      </c>
      <c r="B72" s="10">
        <v>4000</v>
      </c>
      <c r="C72" s="11">
        <f>VLOOKUP(B72,AWPU!$B$7:'AWPU'!$N$78,13,FALSE)</f>
        <v>584641.9693</v>
      </c>
      <c r="D72" s="11">
        <f>VLOOKUP(B72,DEP!$B$6:'DEP'!$O$101,14,FALSE)</f>
        <v>158420.53516734391</v>
      </c>
      <c r="E72" s="11">
        <f>VLOOKUP(B72,LAC!$B$7:'LAC'!$D$102,3,FALSE)</f>
        <v>0</v>
      </c>
      <c r="F72" s="11">
        <f>VLOOKUP(B72,LCHI!$B$7:'LCHI'!$D$102,3,FALSE)</f>
        <v>0</v>
      </c>
      <c r="G72" s="11">
        <f>VLOOKUP(B72,EAL!$B$7:'EAL'!$G$101,6,FALSE)</f>
        <v>135886.77970073</v>
      </c>
      <c r="H72" s="11">
        <f>VLOOKUP(B72,MOB!$B$7:'MOB'!$G$101,6,FALSE)</f>
        <v>7084.1481257862761</v>
      </c>
      <c r="I72" s="11">
        <f>VLOOKUP(B72,'LUMP SUM'!$B$7:$C$101,2,FALSE)</f>
        <v>100000</v>
      </c>
      <c r="J72" s="11">
        <f>VLOOKUP(B72,'SPLIT SITE'!$B$7:'SPLIT SITE'!$C$101,2,FALSE)</f>
        <v>0</v>
      </c>
      <c r="K72" s="11">
        <f>VLOOKUP(B72,RATES!$D$8:'RATES'!$E$116,2,FALSE)</f>
        <v>8627.5</v>
      </c>
      <c r="L72" s="11">
        <f>VLOOKUP(B72,PFI!$B$7:'PFI'!$C$102,2,FALSE)</f>
        <v>0</v>
      </c>
      <c r="M72" s="29">
        <f t="shared" si="6"/>
        <v>994660.93229386024</v>
      </c>
      <c r="N72" s="11">
        <f>SUMIF('2015-16 MFG'!B:B,B72,'2015-16 MFG'!W:W)</f>
        <v>0</v>
      </c>
      <c r="O72" s="11">
        <f>SUMIF('2015-16 MFG'!B:B,B72,'2015-16 MFG'!AC:AC)</f>
        <v>0</v>
      </c>
      <c r="P72" s="29">
        <f t="shared" ref="P72" si="10">SUM(M72:O72)</f>
        <v>994660.93229386024</v>
      </c>
      <c r="Q72" s="11">
        <f>VLOOKUP(B72,'DE-DEL'!$B$7:'DE-DEL'!$N$101,13,FALSE)</f>
        <v>0</v>
      </c>
      <c r="R72" s="29">
        <f t="shared" si="8"/>
        <v>994660.93229386024</v>
      </c>
      <c r="S72" s="11">
        <v>14080</v>
      </c>
      <c r="T72" s="11">
        <v>0</v>
      </c>
      <c r="U72" s="1073"/>
      <c r="V72" s="1073"/>
      <c r="W72" s="11">
        <v>0</v>
      </c>
      <c r="X72" s="11">
        <v>0</v>
      </c>
      <c r="Y72" s="1073"/>
      <c r="Z72" s="29">
        <f t="shared" ref="Z72" si="11">SUM(R72:Y72)</f>
        <v>1008740.9322938602</v>
      </c>
      <c r="AD72" s="11" t="s">
        <v>1201</v>
      </c>
      <c r="AG72" s="11">
        <v>559232.90789999999</v>
      </c>
      <c r="AH72" s="11">
        <v>0</v>
      </c>
      <c r="AI72" s="11">
        <v>969251.87089386024</v>
      </c>
      <c r="AJ72" s="11">
        <f t="shared" si="9"/>
        <v>25409.061400000006</v>
      </c>
      <c r="AM72" s="30">
        <v>4000</v>
      </c>
    </row>
    <row r="73" spans="1:39 16384:16384" s="11" customFormat="1" x14ac:dyDescent="0.2">
      <c r="A73" s="9"/>
      <c r="B73" s="26"/>
      <c r="R73" s="29"/>
      <c r="Z73" s="29"/>
      <c r="AM73" s="30"/>
    </row>
    <row r="74" spans="1:39 16384:16384" s="11" customFormat="1" x14ac:dyDescent="0.2">
      <c r="A74" s="1" t="s">
        <v>110</v>
      </c>
      <c r="B74" s="24" t="s">
        <v>110</v>
      </c>
      <c r="C74" s="29">
        <f t="shared" ref="C74:Z74" si="12">SUM(C2:C73)</f>
        <v>55872879.904499985</v>
      </c>
      <c r="D74" s="29">
        <f t="shared" si="12"/>
        <v>12920519.136036837</v>
      </c>
      <c r="E74" s="29">
        <f t="shared" si="12"/>
        <v>94356.570760851217</v>
      </c>
      <c r="F74" s="29">
        <f t="shared" si="12"/>
        <v>0</v>
      </c>
      <c r="G74" s="29">
        <f t="shared" si="12"/>
        <v>2859226.5163690951</v>
      </c>
      <c r="H74" s="29">
        <f t="shared" si="12"/>
        <v>414419.81200016075</v>
      </c>
      <c r="I74" s="29">
        <f t="shared" si="12"/>
        <v>7100000</v>
      </c>
      <c r="J74" s="29">
        <f t="shared" si="12"/>
        <v>0</v>
      </c>
      <c r="K74" s="29">
        <f t="shared" si="12"/>
        <v>259577.47303999987</v>
      </c>
      <c r="L74" s="29">
        <f t="shared" si="12"/>
        <v>291738</v>
      </c>
      <c r="M74" s="29">
        <f t="shared" si="12"/>
        <v>79812717.412706971</v>
      </c>
      <c r="N74" s="29">
        <f t="shared" si="12"/>
        <v>1068237.2130873241</v>
      </c>
      <c r="O74" s="29">
        <f t="shared" si="12"/>
        <v>0</v>
      </c>
      <c r="P74" s="29">
        <f t="shared" si="12"/>
        <v>80880954.625794291</v>
      </c>
      <c r="Q74" s="29">
        <f t="shared" ca="1" si="12"/>
        <v>-1510727.6799999999</v>
      </c>
      <c r="R74" s="29">
        <f t="shared" ca="1" si="12"/>
        <v>79370226.945794284</v>
      </c>
      <c r="S74" s="29">
        <f t="shared" si="12"/>
        <v>1320785</v>
      </c>
      <c r="T74" s="29">
        <f t="shared" si="12"/>
        <v>2691605.72</v>
      </c>
      <c r="U74" s="29">
        <f t="shared" si="12"/>
        <v>1080544.3229166667</v>
      </c>
      <c r="V74" s="29">
        <f t="shared" si="12"/>
        <v>0</v>
      </c>
      <c r="W74" s="29">
        <f t="shared" si="12"/>
        <v>0</v>
      </c>
      <c r="X74" s="131">
        <f t="shared" si="12"/>
        <v>4110999.4445212781</v>
      </c>
      <c r="Y74" s="29">
        <f t="shared" si="12"/>
        <v>0</v>
      </c>
      <c r="Z74" s="29">
        <f t="shared" ca="1" si="12"/>
        <v>88574161.433232203</v>
      </c>
      <c r="AB74" s="29"/>
      <c r="AC74" s="29"/>
      <c r="AE74" s="29"/>
      <c r="AF74" s="29"/>
      <c r="AG74" s="29">
        <f t="shared" ref="AG74:AJ74" si="13">SUM(AG2:AG73)</f>
        <v>53444594.713500008</v>
      </c>
      <c r="AH74" s="29">
        <f t="shared" si="13"/>
        <v>2161712.713994707</v>
      </c>
      <c r="AI74" s="29">
        <f t="shared" si="13"/>
        <v>79546144.935701638</v>
      </c>
      <c r="AJ74" s="29">
        <f t="shared" si="13"/>
        <v>1334809.6900926258</v>
      </c>
      <c r="AM74" s="30"/>
      <c r="XFD74" s="29"/>
    </row>
    <row r="75" spans="1:39 16384:16384" s="11" customFormat="1" x14ac:dyDescent="0.2">
      <c r="A75" s="9"/>
      <c r="B75" s="26"/>
      <c r="R75" s="29"/>
      <c r="W75" s="11" t="s">
        <v>1326</v>
      </c>
      <c r="X75" s="11">
        <v>0</v>
      </c>
      <c r="Z75" s="29"/>
      <c r="AM75" s="30"/>
    </row>
    <row r="76" spans="1:39 16384:16384" s="11" customFormat="1" x14ac:dyDescent="0.2">
      <c r="A76" s="9" t="s">
        <v>75</v>
      </c>
      <c r="B76" s="26">
        <v>5402</v>
      </c>
      <c r="C76" s="11">
        <f>VLOOKUP(B76,AWPU!$B$81:'AWPU'!$N$94,13,FALSE)</f>
        <v>4970365.2</v>
      </c>
      <c r="D76" s="11">
        <f>VLOOKUP(B76,DEP!$B$6:'DEP'!$O$101,14,FALSE)</f>
        <v>196420.68979902432</v>
      </c>
      <c r="E76" s="11">
        <f>VLOOKUP(B76,LAC!$B$7:'LAC'!$D$102,3,FALSE)</f>
        <v>12142.321878045112</v>
      </c>
      <c r="F76" s="11">
        <f>VLOOKUP(B76,LCHI!$B$7:'LCHI'!$D$102,3,FALSE)</f>
        <v>177373.7348754449</v>
      </c>
      <c r="G76" s="11">
        <f>VLOOKUP(B76,EAL!$B$7:'EAL'!$G$101,6,FALSE)</f>
        <v>35285.020283509693</v>
      </c>
      <c r="H76" s="11">
        <f>VLOOKUP(B76,MOB!$B$7:'MOB'!$G$101,6,FALSE)</f>
        <v>0</v>
      </c>
      <c r="I76" s="11">
        <f>VLOOKUP(B76,'LUMP SUM'!$B$7:$C$101,2,FALSE)</f>
        <v>150000</v>
      </c>
      <c r="J76" s="11">
        <f>VLOOKUP(B76,'SPLIT SITE'!$B$7:'SPLIT SITE'!$C$101,2,FALSE)</f>
        <v>0</v>
      </c>
      <c r="K76" s="11">
        <f>VLOOKUP(B76,RATES!$D$8:'RATES'!$E$116,2,FALSE)</f>
        <v>39440</v>
      </c>
      <c r="L76" s="11">
        <f>VLOOKUP(B76,PFI!$B$7:'PFI'!$C$102,2,FALSE)</f>
        <v>0</v>
      </c>
      <c r="M76" s="29">
        <f t="shared" ref="M76:M89" si="14">SUM(C76:L76)</f>
        <v>5581026.966836025</v>
      </c>
      <c r="N76" s="11">
        <f>SUMIF('2015-16 MFG'!B:B,B76,'2015-16 MFG'!W:W)</f>
        <v>0</v>
      </c>
      <c r="O76" s="11">
        <f>SUMIF('2015-16 MFG'!B:B,B76,'2015-16 MFG'!AC:AC)</f>
        <v>0</v>
      </c>
      <c r="P76" s="29">
        <f t="shared" ref="P76:P87" si="15">SUM(M76:O76)</f>
        <v>5581026.966836025</v>
      </c>
      <c r="Q76" s="11">
        <f>VLOOKUP(B76,'DE-DEL'!$B$7:'DE-DEL'!$N$101,13,FALSE)</f>
        <v>0</v>
      </c>
      <c r="R76" s="29">
        <f t="shared" ref="R76:R87" si="16">SUM(P76+Q76)</f>
        <v>5581026.966836025</v>
      </c>
      <c r="S76" s="11">
        <v>0</v>
      </c>
      <c r="T76" s="11">
        <v>0</v>
      </c>
      <c r="U76" s="11">
        <v>90553.520833333343</v>
      </c>
      <c r="V76" s="11">
        <v>0</v>
      </c>
      <c r="W76" s="11">
        <v>1491436</v>
      </c>
      <c r="X76" s="11">
        <v>0</v>
      </c>
      <c r="Z76" s="29">
        <f t="shared" ref="Z76:Z89" si="17">SUM(R76:Y76)</f>
        <v>7163016.487669358</v>
      </c>
      <c r="AA76" s="9"/>
      <c r="AD76" s="11" t="s">
        <v>1205</v>
      </c>
      <c r="AG76" s="11">
        <v>4823236.7484000009</v>
      </c>
      <c r="AH76" s="11">
        <v>0</v>
      </c>
      <c r="AI76" s="11">
        <v>5433898.5152360257</v>
      </c>
      <c r="AJ76" s="11">
        <f t="shared" ref="AJ76:AJ87" si="18">P76-AI76</f>
        <v>147128.45159999933</v>
      </c>
      <c r="AM76" s="30">
        <v>5402</v>
      </c>
    </row>
    <row r="77" spans="1:39 16384:16384" s="11" customFormat="1" x14ac:dyDescent="0.2">
      <c r="A77" s="9" t="s">
        <v>68</v>
      </c>
      <c r="B77" s="26">
        <v>4608</v>
      </c>
      <c r="C77" s="11">
        <f>VLOOKUP(B77,AWPU!$B$81:'AWPU'!$N$94,13,FALSE)</f>
        <v>2081695.5736000002</v>
      </c>
      <c r="D77" s="11">
        <f>VLOOKUP(B77,DEP!$B$6:'DEP'!$O$101,14,FALSE)</f>
        <v>451725.04434545356</v>
      </c>
      <c r="E77" s="11">
        <f>VLOOKUP(B77,LAC!$B$7:'LAC'!$D$102,3,FALSE)</f>
        <v>5452.2331039999999</v>
      </c>
      <c r="F77" s="11">
        <f>VLOOKUP(B77,LCHI!$B$7:'LCHI'!$D$102,3,FALSE)</f>
        <v>169319.04189723334</v>
      </c>
      <c r="G77" s="11">
        <f>VLOOKUP(B77,EAL!$B$7:'EAL'!$G$101,6,FALSE)</f>
        <v>32665.824099999947</v>
      </c>
      <c r="H77" s="11">
        <f>VLOOKUP(B77,MOB!$B$7:'MOB'!$G$101,6,FALSE)</f>
        <v>0</v>
      </c>
      <c r="I77" s="11">
        <f>VLOOKUP(B77,'LUMP SUM'!$B$7:$C$101,2,FALSE)</f>
        <v>150000</v>
      </c>
      <c r="J77" s="11">
        <f>VLOOKUP(B77,'SPLIT SITE'!$B$7:'SPLIT SITE'!$C$101,2,FALSE)</f>
        <v>0</v>
      </c>
      <c r="K77" s="11">
        <f>VLOOKUP(B77,RATES!$D$8:'RATES'!$E$116,2,FALSE)</f>
        <v>20538.45</v>
      </c>
      <c r="L77" s="11">
        <f>VLOOKUP(B77,PFI!$B$7:'PFI'!$C$102,2,FALSE)</f>
        <v>21184</v>
      </c>
      <c r="M77" s="29">
        <f t="shared" si="14"/>
        <v>2932580.1670466866</v>
      </c>
      <c r="N77" s="11">
        <f>SUMIF('2015-16 MFG'!B:B,B77,'2015-16 MFG'!W:W)</f>
        <v>156614.64460015856</v>
      </c>
      <c r="O77" s="11">
        <f>SUMIF('2015-16 MFG'!B:B,B77,'2015-16 MFG'!AC:AC)</f>
        <v>0</v>
      </c>
      <c r="P77" s="29">
        <f t="shared" si="15"/>
        <v>3089194.8116468452</v>
      </c>
      <c r="Q77" s="11">
        <f ca="1">VLOOKUP(B77,'DE-DEL'!$B$7:'DE-DEL'!$N$101,13,FALSE)</f>
        <v>-40104.06</v>
      </c>
      <c r="R77" s="29">
        <f t="shared" ca="1" si="16"/>
        <v>3049090.7516468451</v>
      </c>
      <c r="S77" s="11">
        <v>0</v>
      </c>
      <c r="T77" s="11">
        <v>0</v>
      </c>
      <c r="U77" s="11">
        <v>91039.0625</v>
      </c>
      <c r="V77" s="11">
        <v>0</v>
      </c>
      <c r="W77" s="11">
        <v>0</v>
      </c>
      <c r="X77" s="11">
        <v>0</v>
      </c>
      <c r="Z77" s="29">
        <f t="shared" ca="1" si="17"/>
        <v>3140129.8141468451</v>
      </c>
      <c r="AA77" s="9"/>
      <c r="AD77" s="11" t="s">
        <v>1207</v>
      </c>
      <c r="AG77" s="11">
        <v>2020225.6172000002</v>
      </c>
      <c r="AH77" s="11">
        <v>218084.60100015812</v>
      </c>
      <c r="AI77" s="11">
        <v>3089194.8116468452</v>
      </c>
      <c r="AJ77" s="11">
        <f t="shared" si="18"/>
        <v>0</v>
      </c>
      <c r="AM77" s="30">
        <v>4608</v>
      </c>
    </row>
    <row r="78" spans="1:39 16384:16384" s="11" customFormat="1" x14ac:dyDescent="0.2">
      <c r="A78" s="9" t="s">
        <v>111</v>
      </c>
      <c r="B78" s="26">
        <v>4178</v>
      </c>
      <c r="C78" s="11">
        <f>VLOOKUP(B78,AWPU!$B$81:'AWPU'!$N$94,13,FALSE)</f>
        <v>4900434.6136000007</v>
      </c>
      <c r="D78" s="11">
        <f>VLOOKUP(B78,DEP!$B$6:'DEP'!$O$101,14,FALSE)</f>
        <v>710994.79645570612</v>
      </c>
      <c r="E78" s="11">
        <f>VLOOKUP(B78,LAC!$B$7:'LAC'!$D$102,3,FALSE)</f>
        <v>10735.450757240333</v>
      </c>
      <c r="F78" s="11">
        <f>VLOOKUP(B78,LCHI!$B$7:'LCHI'!$D$102,3,FALSE)</f>
        <v>293286.58728682186</v>
      </c>
      <c r="G78" s="11">
        <f>VLOOKUP(B78,EAL!$B$7:'EAL'!$G$101,6,FALSE)</f>
        <v>121354.5029759999</v>
      </c>
      <c r="H78" s="11">
        <f>VLOOKUP(B78,MOB!$B$7:'MOB'!$G$101,6,FALSE)</f>
        <v>0</v>
      </c>
      <c r="I78" s="11">
        <f>VLOOKUP(B78,'LUMP SUM'!$B$7:$C$101,2,FALSE)</f>
        <v>150000</v>
      </c>
      <c r="J78" s="11">
        <f>VLOOKUP(B78,'SPLIT SITE'!$B$7:'SPLIT SITE'!$C$101,2,FALSE)</f>
        <v>0</v>
      </c>
      <c r="K78" s="11">
        <f>VLOOKUP(B78,RATES!$D$8:'RATES'!$E$116,2,FALSE)</f>
        <v>-598.56000000000859</v>
      </c>
      <c r="L78" s="11">
        <f>VLOOKUP(B78,PFI!$B$7:'PFI'!$C$102,2,FALSE)</f>
        <v>0</v>
      </c>
      <c r="M78" s="29">
        <f t="shared" si="14"/>
        <v>6186207.3910757694</v>
      </c>
      <c r="N78" s="11">
        <f>SUMIF('2015-16 MFG'!B:B,B78,'2015-16 MFG'!W:W)</f>
        <v>15250.254589177668</v>
      </c>
      <c r="O78" s="11">
        <f>SUMIF('2015-16 MFG'!B:B,B78,'2015-16 MFG'!AC:AC)</f>
        <v>0</v>
      </c>
      <c r="P78" s="29">
        <f t="shared" si="15"/>
        <v>6201457.6456649471</v>
      </c>
      <c r="Q78" s="11">
        <f ca="1">VLOOKUP(B78,'DE-DEL'!$B$7:'DE-DEL'!$N$101,13,FALSE)</f>
        <v>-94686.12</v>
      </c>
      <c r="R78" s="29">
        <f t="shared" ca="1" si="16"/>
        <v>6106771.525664947</v>
      </c>
      <c r="S78" s="11">
        <v>0</v>
      </c>
      <c r="T78" s="11">
        <v>0</v>
      </c>
      <c r="U78" s="11">
        <v>46369.229166666672</v>
      </c>
      <c r="V78" s="11">
        <v>0</v>
      </c>
      <c r="W78" s="11">
        <v>824461.66666666663</v>
      </c>
      <c r="X78" s="11">
        <v>0</v>
      </c>
      <c r="Z78" s="29">
        <f t="shared" ca="1" si="17"/>
        <v>6977602.4214982809</v>
      </c>
      <c r="AA78" s="9"/>
      <c r="AD78" s="11" t="s">
        <v>1208</v>
      </c>
      <c r="AG78" s="11">
        <v>4755303.3808000004</v>
      </c>
      <c r="AH78" s="11">
        <v>160381.48738917802</v>
      </c>
      <c r="AI78" s="11">
        <v>6201457.6456649471</v>
      </c>
      <c r="AJ78" s="11">
        <f t="shared" si="18"/>
        <v>0</v>
      </c>
      <c r="AM78" s="30">
        <v>4178</v>
      </c>
    </row>
    <row r="79" spans="1:39 16384:16384" s="11" customFormat="1" x14ac:dyDescent="0.2">
      <c r="A79" s="9" t="s">
        <v>69</v>
      </c>
      <c r="B79" s="26">
        <v>4181</v>
      </c>
      <c r="C79" s="11">
        <f>VLOOKUP(B79,AWPU!$B$81:'AWPU'!$N$94,13,FALSE)</f>
        <v>3980652.8528</v>
      </c>
      <c r="D79" s="11">
        <f>VLOOKUP(B79,DEP!$B$6:'DEP'!$O$101,14,FALSE)</f>
        <v>364367.77599773696</v>
      </c>
      <c r="E79" s="11">
        <f>VLOOKUP(B79,LAC!$B$7:'LAC'!$D$102,3,FALSE)</f>
        <v>1329.4541146950091</v>
      </c>
      <c r="F79" s="11">
        <f>VLOOKUP(B79,LCHI!$B$7:'LCHI'!$D$102,3,FALSE)</f>
        <v>247853.72082595865</v>
      </c>
      <c r="G79" s="11">
        <f>VLOOKUP(B79,EAL!$B$7:'EAL'!$G$101,6,FALSE)</f>
        <v>9911.1662675324715</v>
      </c>
      <c r="H79" s="11">
        <f>VLOOKUP(B79,MOB!$B$7:'MOB'!$G$101,6,FALSE)</f>
        <v>0</v>
      </c>
      <c r="I79" s="11">
        <f>VLOOKUP(B79,'LUMP SUM'!$B$7:$C$101,2,FALSE)</f>
        <v>150000</v>
      </c>
      <c r="J79" s="11">
        <f>VLOOKUP(B79,'SPLIT SITE'!$B$7:'SPLIT SITE'!$C$101,2,FALSE)</f>
        <v>0</v>
      </c>
      <c r="K79" s="11">
        <f>VLOOKUP(B79,RATES!$D$8:'RATES'!$E$116,2,FALSE)</f>
        <v>17945.199999999997</v>
      </c>
      <c r="L79" s="11">
        <f>VLOOKUP(B79,PFI!$B$7:'PFI'!$C$102,2,FALSE)</f>
        <v>0</v>
      </c>
      <c r="M79" s="29">
        <f t="shared" si="14"/>
        <v>4772060.1700059241</v>
      </c>
      <c r="N79" s="11">
        <f>SUMIF('2015-16 MFG'!B:B,B79,'2015-16 MFG'!W:W)</f>
        <v>0</v>
      </c>
      <c r="O79" s="11">
        <f>SUMIF('2015-16 MFG'!B:B,B79,'2015-16 MFG'!AC:AC)</f>
        <v>0</v>
      </c>
      <c r="P79" s="29">
        <f t="shared" si="15"/>
        <v>4772060.1700059241</v>
      </c>
      <c r="Q79" s="11">
        <f>VLOOKUP(B79,'DE-DEL'!$B$7:'DE-DEL'!$N$101,13,FALSE)</f>
        <v>0</v>
      </c>
      <c r="R79" s="29">
        <f t="shared" si="16"/>
        <v>4772060.1700059241</v>
      </c>
      <c r="S79" s="11">
        <v>0</v>
      </c>
      <c r="T79" s="11">
        <v>255340.16000000003</v>
      </c>
      <c r="U79" s="11">
        <v>8739.75</v>
      </c>
      <c r="V79" s="11">
        <v>0</v>
      </c>
      <c r="W79" s="11">
        <v>486981</v>
      </c>
      <c r="X79" s="11">
        <v>0</v>
      </c>
      <c r="Z79" s="29">
        <f t="shared" si="17"/>
        <v>5523121.0800059242</v>
      </c>
      <c r="AA79" s="9"/>
      <c r="AD79" s="11" t="s">
        <v>1215</v>
      </c>
      <c r="AG79" s="11">
        <v>3862705.9870000007</v>
      </c>
      <c r="AH79" s="11">
        <v>78331.578846777789</v>
      </c>
      <c r="AI79" s="11">
        <v>4732444.8830527021</v>
      </c>
      <c r="AJ79" s="11">
        <f t="shared" si="18"/>
        <v>39615.286953222007</v>
      </c>
      <c r="AM79" s="30">
        <v>4181</v>
      </c>
    </row>
    <row r="80" spans="1:39 16384:16384" s="11" customFormat="1" x14ac:dyDescent="0.2">
      <c r="A80" s="9" t="s">
        <v>70</v>
      </c>
      <c r="B80" s="26">
        <v>4182</v>
      </c>
      <c r="C80" s="11">
        <f>VLOOKUP(B80,AWPU!$B$81:'AWPU'!$N$94,13,FALSE)</f>
        <v>5223144.5624000002</v>
      </c>
      <c r="D80" s="11">
        <f>VLOOKUP(B80,DEP!$B$6:'DEP'!$O$101,14,FALSE)</f>
        <v>167320.45757627505</v>
      </c>
      <c r="E80" s="11">
        <f>VLOOKUP(B80,LAC!$B$7:'LAC'!$D$102,3,FALSE)</f>
        <v>12436.941212125637</v>
      </c>
      <c r="F80" s="11">
        <f>VLOOKUP(B80,LCHI!$B$7:'LCHI'!$D$102,3,FALSE)</f>
        <v>189901.94138041686</v>
      </c>
      <c r="G80" s="11">
        <f>VLOOKUP(B80,EAL!$B$7:'EAL'!$G$101,6,FALSE)</f>
        <v>75653.247708542753</v>
      </c>
      <c r="H80" s="11">
        <f>VLOOKUP(B80,MOB!$B$7:'MOB'!$G$101,6,FALSE)</f>
        <v>0</v>
      </c>
      <c r="I80" s="11">
        <f>VLOOKUP(B80,'LUMP SUM'!$B$7:$C$101,2,FALSE)</f>
        <v>150000</v>
      </c>
      <c r="J80" s="11">
        <f>VLOOKUP(B80,'SPLIT SITE'!$B$7:'SPLIT SITE'!$C$101,2,FALSE)</f>
        <v>0</v>
      </c>
      <c r="K80" s="11">
        <f>VLOOKUP(B80,RATES!$D$8:'RATES'!$E$116,2,FALSE)</f>
        <v>98002.32</v>
      </c>
      <c r="L80" s="11">
        <f>VLOOKUP(B80,PFI!$B$7:'PFI'!$C$102,2,FALSE)</f>
        <v>0</v>
      </c>
      <c r="M80" s="29">
        <f t="shared" si="14"/>
        <v>5916459.4702773616</v>
      </c>
      <c r="N80" s="11">
        <f>SUMIF('2015-16 MFG'!B:B,B80,'2015-16 MFG'!W:W)</f>
        <v>0</v>
      </c>
      <c r="O80" s="11">
        <f>SUMIF('2015-16 MFG'!B:B,B80,'2015-16 MFG'!AC:AC)</f>
        <v>0</v>
      </c>
      <c r="P80" s="29">
        <f t="shared" si="15"/>
        <v>5916459.4702773616</v>
      </c>
      <c r="Q80" s="11">
        <f ca="1">VLOOKUP(B80,'DE-DEL'!$B$7:'DE-DEL'!$N$101,13,FALSE)</f>
        <v>-101201.22</v>
      </c>
      <c r="R80" s="29">
        <f t="shared" ca="1" si="16"/>
        <v>5815258.2502773618</v>
      </c>
      <c r="S80" s="11">
        <v>0</v>
      </c>
      <c r="T80" s="11">
        <v>0</v>
      </c>
      <c r="U80" s="11">
        <v>49039.708333333336</v>
      </c>
      <c r="V80" s="11">
        <v>0</v>
      </c>
      <c r="W80" s="11">
        <v>1083605.6666666667</v>
      </c>
      <c r="X80" s="11">
        <v>0</v>
      </c>
      <c r="Z80" s="29">
        <f t="shared" ca="1" si="17"/>
        <v>6947903.6252773618</v>
      </c>
      <c r="AA80" s="9"/>
      <c r="AD80" s="11" t="s">
        <v>1217</v>
      </c>
      <c r="AG80" s="11">
        <v>5068027.2356000002</v>
      </c>
      <c r="AH80" s="11">
        <v>14853.846736473963</v>
      </c>
      <c r="AI80" s="11">
        <v>5776195.9902138356</v>
      </c>
      <c r="AJ80" s="11">
        <f t="shared" si="18"/>
        <v>140263.48006352596</v>
      </c>
      <c r="AM80" s="30">
        <v>4182</v>
      </c>
    </row>
    <row r="81" spans="1:39" s="11" customFormat="1" x14ac:dyDescent="0.2">
      <c r="A81" s="9" t="s">
        <v>71</v>
      </c>
      <c r="B81" s="39">
        <v>4001</v>
      </c>
      <c r="C81" s="11">
        <f>VLOOKUP(B81,AWPU!$B$81:'AWPU'!$N$94,13,FALSE)</f>
        <v>2753166.2944</v>
      </c>
      <c r="D81" s="11">
        <f>VLOOKUP(B81,DEP!$B$6:'DEP'!$O$101,14,FALSE)</f>
        <v>677113.37315309048</v>
      </c>
      <c r="E81" s="11">
        <f>VLOOKUP(B81,LAC!$B$7:'LAC'!$D$102,3,FALSE)</f>
        <v>8809.681747964376</v>
      </c>
      <c r="F81" s="11">
        <f>VLOOKUP(B81,LCHI!$B$7:'LCHI'!$D$102,3,FALSE)</f>
        <v>343189.20105263148</v>
      </c>
      <c r="G81" s="11">
        <f>VLOOKUP(B81,EAL!$B$7:'EAL'!$G$101,6,FALSE)</f>
        <v>151386.62774999996</v>
      </c>
      <c r="H81" s="11">
        <f>VLOOKUP(B81,MOB!$B$7:'MOB'!$G$101,6,FALSE)</f>
        <v>0</v>
      </c>
      <c r="I81" s="11">
        <f>VLOOKUP(B81,'LUMP SUM'!$B$7:$C$101,2,FALSE)</f>
        <v>150000</v>
      </c>
      <c r="J81" s="11">
        <f>VLOOKUP(B81,'SPLIT SITE'!$B$7:'SPLIT SITE'!$C$101,2,FALSE)</f>
        <v>0</v>
      </c>
      <c r="K81" s="11">
        <f>VLOOKUP(B81,RATES!$D$8:'RATES'!$E$116,2,FALSE)</f>
        <v>43137.5</v>
      </c>
      <c r="L81" s="11">
        <f>VLOOKUP(B81,PFI!$B$7:'PFI'!$C$102,2,FALSE)</f>
        <v>324718</v>
      </c>
      <c r="M81" s="29">
        <f t="shared" si="14"/>
        <v>4451520.6781036863</v>
      </c>
      <c r="N81" s="11">
        <f>SUMIF('2015-16 MFG'!B:B,B81,'2015-16 MFG'!W:W)</f>
        <v>0</v>
      </c>
      <c r="O81" s="11">
        <f>SUMIF('2015-16 MFG'!B:B,B81,'2015-16 MFG'!AC:AC)</f>
        <v>0</v>
      </c>
      <c r="P81" s="29">
        <f t="shared" si="15"/>
        <v>4451520.6781036863</v>
      </c>
      <c r="Q81" s="11">
        <f>VLOOKUP(B81,'DE-DEL'!$B$7:'DE-DEL'!$N$101,13,FALSE)</f>
        <v>0</v>
      </c>
      <c r="R81" s="29">
        <f t="shared" si="16"/>
        <v>4451520.6781036863</v>
      </c>
      <c r="S81" s="11">
        <v>0</v>
      </c>
      <c r="T81" s="11">
        <v>0</v>
      </c>
      <c r="U81" s="11">
        <v>25369.552083333336</v>
      </c>
      <c r="V81" s="11">
        <v>0</v>
      </c>
      <c r="W81" s="11">
        <v>524934</v>
      </c>
      <c r="X81" s="11">
        <v>0</v>
      </c>
      <c r="Z81" s="29">
        <f t="shared" si="17"/>
        <v>5001824.2301870193</v>
      </c>
      <c r="AA81" s="9"/>
      <c r="AD81" s="11" t="s">
        <v>1218</v>
      </c>
      <c r="AG81" s="11">
        <v>2672057.0197999999</v>
      </c>
      <c r="AH81" s="11">
        <v>0</v>
      </c>
      <c r="AI81" s="11">
        <v>4370411.4035036862</v>
      </c>
      <c r="AJ81" s="11">
        <f t="shared" si="18"/>
        <v>81109.274600000121</v>
      </c>
      <c r="AM81" s="30">
        <v>4001</v>
      </c>
    </row>
    <row r="82" spans="1:39" s="11" customFormat="1" x14ac:dyDescent="0.2">
      <c r="A82" s="9" t="s">
        <v>112</v>
      </c>
      <c r="B82" s="26">
        <v>5406</v>
      </c>
      <c r="C82" s="11">
        <f>VLOOKUP(B82,AWPU!$B$81:'AWPU'!$N$94,13,FALSE)</f>
        <v>3218421.4183999998</v>
      </c>
      <c r="D82" s="11">
        <f>VLOOKUP(B82,DEP!$B$6:'DEP'!$O$101,14,FALSE)</f>
        <v>388650.40708433313</v>
      </c>
      <c r="E82" s="11">
        <f>VLOOKUP(B82,LAC!$B$7:'LAC'!$D$102,3,FALSE)</f>
        <v>5368.9108051044077</v>
      </c>
      <c r="F82" s="11">
        <f>VLOOKUP(B82,LCHI!$B$7:'LCHI'!$D$102,3,FALSE)</f>
        <v>214375.9469879517</v>
      </c>
      <c r="G82" s="11">
        <f>VLOOKUP(B82,EAL!$B$7:'EAL'!$G$101,6,FALSE)</f>
        <v>78353.635092352895</v>
      </c>
      <c r="H82" s="11">
        <f>VLOOKUP(B82,MOB!$B$7:'MOB'!$G$101,6,FALSE)</f>
        <v>0</v>
      </c>
      <c r="I82" s="11">
        <f>VLOOKUP(B82,'LUMP SUM'!$B$7:$C$101,2,FALSE)</f>
        <v>150000</v>
      </c>
      <c r="J82" s="11">
        <f>VLOOKUP(B82,'SPLIT SITE'!$B$7:'SPLIT SITE'!$C$101,2,FALSE)</f>
        <v>0</v>
      </c>
      <c r="K82" s="11">
        <f>VLOOKUP(B82,RATES!$D$8:'RATES'!$E$116,2,FALSE)</f>
        <v>24743.160000000003</v>
      </c>
      <c r="L82" s="11">
        <f>VLOOKUP(B82,PFI!$B$7:'PFI'!$C$102,2,FALSE)</f>
        <v>0</v>
      </c>
      <c r="M82" s="29">
        <f t="shared" si="14"/>
        <v>4079913.4783697422</v>
      </c>
      <c r="N82" s="11">
        <f>SUMIF('2015-16 MFG'!B:B,B82,'2015-16 MFG'!W:W)</f>
        <v>0</v>
      </c>
      <c r="O82" s="11">
        <f>SUMIF('2015-16 MFG'!B:B,B82,'2015-16 MFG'!AC:AC)</f>
        <v>0</v>
      </c>
      <c r="P82" s="29">
        <f t="shared" si="15"/>
        <v>4079913.4783697422</v>
      </c>
      <c r="Q82" s="11">
        <f ca="1">VLOOKUP(B82,'DE-DEL'!$B$7:'DE-DEL'!$N$101,13,FALSE)</f>
        <v>-61893.45</v>
      </c>
      <c r="R82" s="29">
        <f t="shared" ca="1" si="16"/>
        <v>4018020.028369742</v>
      </c>
      <c r="S82" s="11">
        <v>0</v>
      </c>
      <c r="T82" s="11">
        <v>0</v>
      </c>
      <c r="U82" s="11">
        <v>14566.25</v>
      </c>
      <c r="V82" s="11">
        <v>0</v>
      </c>
      <c r="W82" s="11">
        <v>0</v>
      </c>
      <c r="X82" s="11">
        <v>0</v>
      </c>
      <c r="Z82" s="29">
        <f t="shared" ca="1" si="17"/>
        <v>4032586.278369742</v>
      </c>
      <c r="AA82" s="9"/>
      <c r="AD82" s="11" t="s">
        <v>1220</v>
      </c>
      <c r="AG82" s="11">
        <v>3123553.5254000002</v>
      </c>
      <c r="AH82" s="11">
        <v>0</v>
      </c>
      <c r="AI82" s="11">
        <v>3985045.5853697425</v>
      </c>
      <c r="AJ82" s="11">
        <f t="shared" si="18"/>
        <v>94867.892999999691</v>
      </c>
      <c r="AM82" s="30">
        <v>5406</v>
      </c>
    </row>
    <row r="83" spans="1:39" s="11" customFormat="1" x14ac:dyDescent="0.2">
      <c r="A83" s="9" t="s">
        <v>113</v>
      </c>
      <c r="B83" s="26">
        <v>5407</v>
      </c>
      <c r="C83" s="11">
        <f>VLOOKUP(B83,AWPU!$B$81:'AWPU'!$N$94,13,FALSE)</f>
        <v>3862558.3168000001</v>
      </c>
      <c r="D83" s="11">
        <f>VLOOKUP(B83,DEP!$B$6:'DEP'!$O$101,14,FALSE)</f>
        <v>617038.33202540176</v>
      </c>
      <c r="E83" s="11">
        <f>VLOOKUP(B83,LAC!$B$7:'LAC'!$D$102,3,FALSE)</f>
        <v>8361.6673701492527</v>
      </c>
      <c r="F83" s="11">
        <f>VLOOKUP(B83,LCHI!$B$7:'LCHI'!$D$102,3,FALSE)</f>
        <v>306567.5588785045</v>
      </c>
      <c r="G83" s="11">
        <f>VLOOKUP(B83,EAL!$B$7:'EAL'!$G$101,6,FALSE)</f>
        <v>62818.892500000053</v>
      </c>
      <c r="H83" s="11">
        <f>VLOOKUP(B83,MOB!$B$7:'MOB'!$G$101,6,FALSE)</f>
        <v>0</v>
      </c>
      <c r="I83" s="11">
        <f>VLOOKUP(B83,'LUMP SUM'!$B$7:$C$101,2,FALSE)</f>
        <v>150000</v>
      </c>
      <c r="J83" s="11">
        <f>VLOOKUP(B83,'SPLIT SITE'!$B$7:'SPLIT SITE'!$C$101,2,FALSE)</f>
        <v>0</v>
      </c>
      <c r="K83" s="11">
        <f>VLOOKUP(B83,RATES!$D$8:'RATES'!$E$116,2,FALSE)</f>
        <v>26926.380000000005</v>
      </c>
      <c r="L83" s="11">
        <f>VLOOKUP(B83,PFI!$B$7:'PFI'!$C$102,2,FALSE)</f>
        <v>395815</v>
      </c>
      <c r="M83" s="29">
        <f t="shared" si="14"/>
        <v>5430086.147574055</v>
      </c>
      <c r="N83" s="11">
        <f>SUMIF('2015-16 MFG'!B:B,B83,'2015-16 MFG'!W:W)</f>
        <v>13907.830214153044</v>
      </c>
      <c r="O83" s="11">
        <f>SUMIF('2015-16 MFG'!B:B,B83,'2015-16 MFG'!AC:AC)</f>
        <v>0</v>
      </c>
      <c r="P83" s="29">
        <f t="shared" si="15"/>
        <v>5443993.9777882081</v>
      </c>
      <c r="Q83" s="11">
        <f ca="1">VLOOKUP(B83,'DE-DEL'!$B$7:'DE-DEL'!$N$101,13,FALSE)</f>
        <v>-74923.649999999994</v>
      </c>
      <c r="R83" s="29">
        <f t="shared" ca="1" si="16"/>
        <v>5369070.3277882077</v>
      </c>
      <c r="S83" s="11">
        <v>0</v>
      </c>
      <c r="T83" s="11">
        <v>0</v>
      </c>
      <c r="U83" s="11">
        <v>41756.583333333336</v>
      </c>
      <c r="V83" s="11">
        <v>0</v>
      </c>
      <c r="W83" s="11">
        <v>650442.83440860221</v>
      </c>
      <c r="X83" s="11">
        <v>0</v>
      </c>
      <c r="Z83" s="29">
        <f t="shared" ca="1" si="17"/>
        <v>6061269.7455301434</v>
      </c>
      <c r="AA83" s="9"/>
      <c r="AD83" s="11" t="s">
        <v>1222</v>
      </c>
      <c r="AG83" s="11">
        <v>3747718.2357999999</v>
      </c>
      <c r="AH83" s="11">
        <v>128747.91121415328</v>
      </c>
      <c r="AI83" s="11">
        <v>5443993.9777882081</v>
      </c>
      <c r="AJ83" s="11">
        <f t="shared" si="18"/>
        <v>0</v>
      </c>
      <c r="AM83" s="30">
        <v>5407</v>
      </c>
    </row>
    <row r="84" spans="1:39" s="11" customFormat="1" x14ac:dyDescent="0.2">
      <c r="A84" s="9" t="s">
        <v>72</v>
      </c>
      <c r="B84" s="26">
        <v>4607</v>
      </c>
      <c r="C84" s="11">
        <f>VLOOKUP(B84,AWPU!$B$81:'AWPU'!$N$94,13,FALSE)</f>
        <v>4286846.1655999999</v>
      </c>
      <c r="D84" s="11">
        <f>VLOOKUP(B84,DEP!$B$6:'DEP'!$O$101,14,FALSE)</f>
        <v>589657.13893797668</v>
      </c>
      <c r="E84" s="11">
        <f>VLOOKUP(B84,LAC!$B$7:'LAC'!$D$102,3,FALSE)</f>
        <v>2653.0474924528298</v>
      </c>
      <c r="F84" s="11">
        <f>VLOOKUP(B84,LCHI!$B$7:'LCHI'!$D$102,3,FALSE)</f>
        <v>290896.54497017938</v>
      </c>
      <c r="G84" s="11">
        <f>VLOOKUP(B84,EAL!$B$7:'EAL'!$G$101,6,FALSE)</f>
        <v>115869.3124117597</v>
      </c>
      <c r="H84" s="11">
        <f>VLOOKUP(B84,MOB!$B$7:'MOB'!$G$101,6,FALSE)</f>
        <v>0</v>
      </c>
      <c r="I84" s="11">
        <f>VLOOKUP(B84,'LUMP SUM'!$B$7:$C$101,2,FALSE)</f>
        <v>150000</v>
      </c>
      <c r="J84" s="11">
        <f>VLOOKUP(B84,'SPLIT SITE'!$B$7:'SPLIT SITE'!$C$101,2,FALSE)</f>
        <v>19329.921551105632</v>
      </c>
      <c r="K84" s="11">
        <f>VLOOKUP(B84,RATES!$D$8:'RATES'!$E$116,2,FALSE)</f>
        <v>24650</v>
      </c>
      <c r="L84" s="11">
        <f>VLOOKUP(B84,PFI!$B$7:'PFI'!$C$102,2,FALSE)</f>
        <v>0</v>
      </c>
      <c r="M84" s="29">
        <f t="shared" si="14"/>
        <v>5479902.1309634736</v>
      </c>
      <c r="N84" s="11">
        <f>SUMIF('2015-16 MFG'!B:B,B84,'2015-16 MFG'!W:W)</f>
        <v>0</v>
      </c>
      <c r="O84" s="11">
        <f>SUMIF('2015-16 MFG'!B:B,B84,'2015-16 MFG'!AC:AC)</f>
        <v>0</v>
      </c>
      <c r="P84" s="29">
        <f t="shared" si="15"/>
        <v>5479902.1309634736</v>
      </c>
      <c r="Q84" s="11">
        <f>VLOOKUP(B84,'DE-DEL'!$B$7:'DE-DEL'!$N$101,13,FALSE)</f>
        <v>0</v>
      </c>
      <c r="R84" s="29">
        <f t="shared" si="16"/>
        <v>5479902.1309634736</v>
      </c>
      <c r="S84" s="11">
        <v>0</v>
      </c>
      <c r="T84" s="11">
        <v>649693.21</v>
      </c>
      <c r="U84" s="11">
        <v>37872.25</v>
      </c>
      <c r="V84" s="11">
        <v>0</v>
      </c>
      <c r="W84" s="11">
        <v>1265504</v>
      </c>
      <c r="X84" s="11">
        <v>0</v>
      </c>
      <c r="Z84" s="29">
        <f t="shared" si="17"/>
        <v>7432971.5909634735</v>
      </c>
      <c r="AA84" s="9"/>
      <c r="AD84" s="11" t="s">
        <v>1223</v>
      </c>
      <c r="AG84" s="11">
        <v>4160022.7718000002</v>
      </c>
      <c r="AH84" s="11">
        <v>0</v>
      </c>
      <c r="AI84" s="11">
        <v>5353078.7371634739</v>
      </c>
      <c r="AJ84" s="11">
        <f t="shared" si="18"/>
        <v>126823.39379999973</v>
      </c>
      <c r="AM84" s="30">
        <v>4607</v>
      </c>
    </row>
    <row r="85" spans="1:39" s="11" customFormat="1" x14ac:dyDescent="0.2">
      <c r="A85" s="9" t="s">
        <v>452</v>
      </c>
      <c r="B85" s="39">
        <v>4002</v>
      </c>
      <c r="C85" s="11">
        <f>VLOOKUP(B85,AWPU!$B$81:'AWPU'!$N$94,13,FALSE)</f>
        <v>2925522.5912000001</v>
      </c>
      <c r="D85" s="11">
        <f>VLOOKUP(B85,DEP!$B$6:'DEP'!$O$101,14,FALSE)</f>
        <v>514156.74608807557</v>
      </c>
      <c r="E85" s="11">
        <f>VLOOKUP(B85,LAC!$B$7:'LAC'!$D$102,3,FALSE)</f>
        <v>4177.7880658730155</v>
      </c>
      <c r="F85" s="11">
        <f>VLOOKUP(B85,LCHI!$B$7:'LCHI'!$D$102,3,FALSE)</f>
        <v>308420.09996715892</v>
      </c>
      <c r="G85" s="11">
        <f>VLOOKUP(B85,EAL!$B$7:'EAL'!$G$101,6,FALSE)</f>
        <v>198507.70029999965</v>
      </c>
      <c r="H85" s="11">
        <f>VLOOKUP(B85,MOB!$B$7:'MOB'!$G$101,6,FALSE)</f>
        <v>0</v>
      </c>
      <c r="I85" s="11">
        <f>VLOOKUP(B85,'LUMP SUM'!$B$7:$C$101,2,FALSE)</f>
        <v>150000</v>
      </c>
      <c r="J85" s="11">
        <f>VLOOKUP(B85,'SPLIT SITE'!$B$7:'SPLIT SITE'!$C$101,2,FALSE)</f>
        <v>0</v>
      </c>
      <c r="K85" s="11">
        <f>VLOOKUP(B85,RATES!$D$8:'RATES'!$E$116,2,FALSE)</f>
        <v>44863</v>
      </c>
      <c r="L85" s="11">
        <f>VLOOKUP(B85,PFI!$B$7:'PFI'!$C$102,2,FALSE)</f>
        <v>0</v>
      </c>
      <c r="M85" s="29">
        <f t="shared" si="14"/>
        <v>4145647.9256211072</v>
      </c>
      <c r="N85" s="11">
        <f>SUMIF('2015-16 MFG'!B:B,B85,'2015-16 MFG'!W:W)</f>
        <v>0</v>
      </c>
      <c r="O85" s="11">
        <f>SUMIF('2015-16 MFG'!B:B,B85,'2015-16 MFG'!AC:AC)</f>
        <v>0</v>
      </c>
      <c r="P85" s="29">
        <f t="shared" si="15"/>
        <v>4145647.9256211072</v>
      </c>
      <c r="Q85" s="11">
        <f>VLOOKUP(B85,'DE-DEL'!$B$7:'DE-DEL'!$N$101,13,FALSE)</f>
        <v>0</v>
      </c>
      <c r="R85" s="29">
        <f t="shared" si="16"/>
        <v>4145647.9256211072</v>
      </c>
      <c r="S85" s="11">
        <v>0</v>
      </c>
      <c r="T85" s="11">
        <v>0</v>
      </c>
      <c r="U85" s="11">
        <v>17479.5</v>
      </c>
      <c r="V85" s="11">
        <v>0</v>
      </c>
      <c r="W85" s="11">
        <v>0</v>
      </c>
      <c r="X85" s="11">
        <v>0</v>
      </c>
      <c r="Z85" s="29">
        <f t="shared" si="17"/>
        <v>4163127.4256211072</v>
      </c>
      <c r="AA85" s="9"/>
      <c r="AD85" s="11" t="s">
        <v>1226</v>
      </c>
      <c r="AG85" s="11">
        <v>2839198.3563999999</v>
      </c>
      <c r="AH85" s="11">
        <v>0</v>
      </c>
      <c r="AI85" s="11">
        <v>4059323.690821107</v>
      </c>
      <c r="AJ85" s="11">
        <f t="shared" si="18"/>
        <v>86324.234800000209</v>
      </c>
      <c r="AM85" s="30">
        <v>4002</v>
      </c>
    </row>
    <row r="86" spans="1:39" s="11" customFormat="1" x14ac:dyDescent="0.2">
      <c r="A86" s="9" t="s">
        <v>74</v>
      </c>
      <c r="B86" s="26">
        <v>5412</v>
      </c>
      <c r="C86" s="11">
        <f>VLOOKUP(B86,AWPU!$B$81:'AWPU'!$N$94,13,FALSE)</f>
        <v>4714629</v>
      </c>
      <c r="D86" s="11">
        <f>VLOOKUP(B86,DEP!$B$6:'DEP'!$O$101,14,FALSE)</f>
        <v>335484.69222747046</v>
      </c>
      <c r="E86" s="11">
        <f>VLOOKUP(B86,LAC!$B$7:'LAC'!$D$102,3,FALSE)</f>
        <v>5482.6539626107979</v>
      </c>
      <c r="F86" s="11">
        <f>VLOOKUP(B86,LCHI!$B$7:'LCHI'!$D$102,3,FALSE)</f>
        <v>234813.77546887947</v>
      </c>
      <c r="G86" s="11">
        <f>VLOOKUP(B86,EAL!$B$7:'EAL'!$G$101,6,FALSE)</f>
        <v>12583.800457768923</v>
      </c>
      <c r="H86" s="11">
        <f>VLOOKUP(B86,MOB!$B$7:'MOB'!$G$101,6,FALSE)</f>
        <v>0</v>
      </c>
      <c r="I86" s="11">
        <f>VLOOKUP(B86,'LUMP SUM'!$B$7:$C$101,2,FALSE)</f>
        <v>150000</v>
      </c>
      <c r="J86" s="11">
        <f>VLOOKUP(B86,'SPLIT SITE'!$B$7:'SPLIT SITE'!$C$101,2,FALSE)</f>
        <v>0</v>
      </c>
      <c r="K86" s="11">
        <f>VLOOKUP(B86,RATES!$D$8:'RATES'!$E$116,2,FALSE)</f>
        <v>21001.799999999988</v>
      </c>
      <c r="L86" s="11">
        <f>VLOOKUP(B86,PFI!$B$7:'PFI'!$C$102,2,FALSE)</f>
        <v>0</v>
      </c>
      <c r="M86" s="29">
        <f t="shared" si="14"/>
        <v>5473995.7221167302</v>
      </c>
      <c r="N86" s="11">
        <f>SUMIF('2015-16 MFG'!B:B,B86,'2015-16 MFG'!W:W)</f>
        <v>0</v>
      </c>
      <c r="O86" s="11">
        <f>SUMIF('2015-16 MFG'!B:B,B86,'2015-16 MFG'!AC:AC)</f>
        <v>0</v>
      </c>
      <c r="P86" s="29">
        <f t="shared" si="15"/>
        <v>5473995.7221167302</v>
      </c>
      <c r="Q86" s="11">
        <f>VLOOKUP(B86,'DE-DEL'!$B$7:'DE-DEL'!$N$101,13,FALSE)</f>
        <v>0</v>
      </c>
      <c r="R86" s="29">
        <f t="shared" si="16"/>
        <v>5473995.7221167302</v>
      </c>
      <c r="S86" s="11">
        <v>0</v>
      </c>
      <c r="T86" s="11">
        <v>0</v>
      </c>
      <c r="U86" s="11">
        <v>21363.833333333336</v>
      </c>
      <c r="V86" s="11">
        <v>0</v>
      </c>
      <c r="W86" s="11">
        <v>0</v>
      </c>
      <c r="X86" s="11">
        <v>0</v>
      </c>
      <c r="Z86" s="29">
        <f t="shared" si="17"/>
        <v>5495359.5554500632</v>
      </c>
      <c r="AA86" s="9"/>
      <c r="AD86" s="11" t="s">
        <v>1229</v>
      </c>
      <c r="AG86" s="11">
        <v>4575156.5538000008</v>
      </c>
      <c r="AH86" s="11">
        <v>0</v>
      </c>
      <c r="AI86" s="11">
        <v>5334523.275916731</v>
      </c>
      <c r="AJ86" s="11">
        <f t="shared" si="18"/>
        <v>139472.44619999919</v>
      </c>
      <c r="AM86" s="30">
        <v>5412</v>
      </c>
    </row>
    <row r="87" spans="1:39" s="11" customFormat="1" x14ac:dyDescent="0.2">
      <c r="A87" s="9" t="s">
        <v>73</v>
      </c>
      <c r="B87" s="26">
        <v>5414</v>
      </c>
      <c r="C87" s="11">
        <f>VLOOKUP(B87,AWPU!$B$81:'AWPU'!$N$94,13,FALSE)</f>
        <v>3892996.2856000001</v>
      </c>
      <c r="D87" s="11">
        <f>VLOOKUP(B87,DEP!$B$6:'DEP'!$O$101,14,FALSE)</f>
        <v>243617.48017471068</v>
      </c>
      <c r="E87" s="11">
        <f>VLOOKUP(B87,LAC!$B$7:'LAC'!$D$102,3,FALSE)</f>
        <v>2719.495337258687</v>
      </c>
      <c r="F87" s="11">
        <f>VLOOKUP(B87,LCHI!$B$7:'LCHI'!$D$102,3,FALSE)</f>
        <v>144002.93244249688</v>
      </c>
      <c r="G87" s="11">
        <f>VLOOKUP(B87,EAL!$B$7:'EAL'!$G$101,6,FALSE)</f>
        <v>57243.491650903939</v>
      </c>
      <c r="H87" s="11">
        <f>VLOOKUP(B87,MOB!$B$7:'MOB'!$G$101,6,FALSE)</f>
        <v>0</v>
      </c>
      <c r="I87" s="11">
        <f>VLOOKUP(B87,'LUMP SUM'!$B$7:$C$101,2,FALSE)</f>
        <v>150000</v>
      </c>
      <c r="J87" s="11">
        <f>VLOOKUP(B87,'SPLIT SITE'!$B$7:'SPLIT SITE'!$C$101,2,FALSE)</f>
        <v>0</v>
      </c>
      <c r="K87" s="11">
        <f>VLOOKUP(B87,RATES!$D$8:'RATES'!$E$116,2,FALSE)</f>
        <v>24354.199999999997</v>
      </c>
      <c r="L87" s="11">
        <f>VLOOKUP(B87,PFI!$B$7:'PFI'!$C$102,2,FALSE)</f>
        <v>0</v>
      </c>
      <c r="M87" s="29">
        <f t="shared" si="14"/>
        <v>4514933.8852053694</v>
      </c>
      <c r="N87" s="11">
        <f>SUMIF('2015-16 MFG'!B:B,B87,'2015-16 MFG'!W:W)</f>
        <v>0</v>
      </c>
      <c r="O87" s="11">
        <f>SUMIF('2015-16 MFG'!B:B,B87,'2015-16 MFG'!AC:AC)</f>
        <v>0</v>
      </c>
      <c r="P87" s="29">
        <f t="shared" si="15"/>
        <v>4514933.8852053694</v>
      </c>
      <c r="Q87" s="11">
        <f>VLOOKUP(B87,'DE-DEL'!$B$7:'DE-DEL'!$N$101,13,FALSE)</f>
        <v>0</v>
      </c>
      <c r="R87" s="29">
        <f t="shared" si="16"/>
        <v>4514933.8852053694</v>
      </c>
      <c r="S87" s="11">
        <v>0</v>
      </c>
      <c r="T87" s="11">
        <v>213776.5</v>
      </c>
      <c r="U87" s="11">
        <v>33866.53125</v>
      </c>
      <c r="V87" s="11">
        <v>0</v>
      </c>
      <c r="W87" s="11">
        <v>870388</v>
      </c>
      <c r="X87" s="11">
        <v>0</v>
      </c>
      <c r="Z87" s="29">
        <f t="shared" si="17"/>
        <v>5632964.9164553694</v>
      </c>
      <c r="AA87" s="9"/>
      <c r="AD87" s="11" t="s">
        <v>1231</v>
      </c>
      <c r="AG87" s="11">
        <v>3777490.4650000003</v>
      </c>
      <c r="AH87" s="11">
        <v>0</v>
      </c>
      <c r="AI87" s="11">
        <v>4399428.0646053702</v>
      </c>
      <c r="AJ87" s="11">
        <f t="shared" si="18"/>
        <v>115505.82059999928</v>
      </c>
      <c r="AM87" s="30">
        <v>5414</v>
      </c>
    </row>
    <row r="88" spans="1:39" s="11" customFormat="1" x14ac:dyDescent="0.2">
      <c r="A88" s="9" t="s">
        <v>912</v>
      </c>
      <c r="B88" s="10"/>
      <c r="C88" s="1119">
        <v>0</v>
      </c>
      <c r="D88" s="1119">
        <v>0</v>
      </c>
      <c r="E88" s="1119">
        <v>0</v>
      </c>
      <c r="F88" s="1119">
        <v>0</v>
      </c>
      <c r="G88" s="1119">
        <v>0</v>
      </c>
      <c r="H88" s="1119">
        <v>0</v>
      </c>
      <c r="I88" s="1119">
        <v>0</v>
      </c>
      <c r="J88" s="1119">
        <v>0</v>
      </c>
      <c r="K88" s="1119">
        <v>0</v>
      </c>
      <c r="L88" s="1119">
        <v>0</v>
      </c>
      <c r="M88" s="1120">
        <f t="shared" si="14"/>
        <v>0</v>
      </c>
      <c r="N88" s="1119">
        <f>SUMIF('2015-16 MFG'!B:B,B88,'2015-16 MFG'!W:W)</f>
        <v>0</v>
      </c>
      <c r="O88" s="1119">
        <f>SUMIF('2015-16 MFG'!B:B,B88,'2015-16 MFG'!AC:AC)</f>
        <v>0</v>
      </c>
      <c r="P88" s="1120">
        <f t="shared" ref="P88:Q88" si="19">SUM(M88:O88)</f>
        <v>0</v>
      </c>
      <c r="Q88" s="1120">
        <f t="shared" si="19"/>
        <v>0</v>
      </c>
      <c r="R88" s="1120">
        <f t="shared" ref="R88" si="20">SUM(P88+Q88)</f>
        <v>0</v>
      </c>
      <c r="S88" s="1119">
        <v>0</v>
      </c>
      <c r="T88" s="11">
        <v>0</v>
      </c>
      <c r="U88" s="1119"/>
      <c r="V88" s="1119"/>
      <c r="W88" s="1119"/>
      <c r="X88" s="1119">
        <v>0</v>
      </c>
      <c r="Y88" s="1119"/>
      <c r="Z88" s="1120">
        <f t="shared" si="17"/>
        <v>0</v>
      </c>
      <c r="AM88" s="30"/>
    </row>
    <row r="89" spans="1:39" s="11" customFormat="1" x14ac:dyDescent="0.2">
      <c r="A89" s="9" t="s">
        <v>597</v>
      </c>
      <c r="B89" s="10">
        <v>6905</v>
      </c>
      <c r="C89" s="11">
        <f>VLOOKUP(B89,AWPU!$B$81:'AWPU'!$N$94,13,FALSE)</f>
        <v>3162404.6424000002</v>
      </c>
      <c r="D89" s="11">
        <f>VLOOKUP(B89,DEP!$B$6:'DEP'!$O$101,14,FALSE)</f>
        <v>355396.08319092944</v>
      </c>
      <c r="E89" s="11">
        <f>VLOOKUP(B89,LAC!$B$7:'LAC'!$D$102,3,FALSE)</f>
        <v>8090.5423480519476</v>
      </c>
      <c r="F89" s="11">
        <f>VLOOKUP(B89,LCHI!$B$7:'LCHI'!$D$102,3,FALSE)</f>
        <v>117954.64917333356</v>
      </c>
      <c r="G89" s="11">
        <f>VLOOKUP(B89,EAL!$B$7:'EAL'!$G$101,6,FALSE)</f>
        <v>42716.846899999931</v>
      </c>
      <c r="H89" s="11">
        <f>VLOOKUP(B89,MOB!$B$7:'MOB'!$G$101,6,FALSE)</f>
        <v>0</v>
      </c>
      <c r="I89" s="11">
        <f>VLOOKUP(B89,'LUMP SUM'!$B$7:$C$101,2,FALSE)</f>
        <v>150000</v>
      </c>
      <c r="J89" s="11">
        <f>VLOOKUP(B89,'SPLIT SITE'!$B$7:'SPLIT SITE'!$C$101,2,FALSE)</f>
        <v>0</v>
      </c>
      <c r="K89" s="11">
        <f>VLOOKUP(B89,RATES!$D$8:'RATES'!$E$116,2,FALSE)</f>
        <v>39193.5</v>
      </c>
      <c r="L89" s="11">
        <f>VLOOKUP(B89,PFI!$B$7:'PFI'!$C$102,2,FALSE)</f>
        <v>0</v>
      </c>
      <c r="M89" s="29">
        <f t="shared" si="14"/>
        <v>3875756.2640123153</v>
      </c>
      <c r="N89" s="11">
        <f>SUMIF('2015-16 MFG'!B:B,B89,'2015-16 MFG'!W:W)</f>
        <v>0</v>
      </c>
      <c r="O89" s="11">
        <f>SUMIF('2015-16 MFG'!B:B,B89,'2015-16 MFG'!AC:AC)</f>
        <v>0</v>
      </c>
      <c r="P89" s="29">
        <f t="shared" ref="P89" si="21">SUM(M89:O89)</f>
        <v>3875756.2640123153</v>
      </c>
      <c r="Q89" s="11">
        <f>VLOOKUP(B89,'DE-DEL'!$B$7:'DE-DEL'!$N$101,13,FALSE)</f>
        <v>0</v>
      </c>
      <c r="R89" s="29">
        <f t="shared" ref="R89" si="22">SUM(P89+Q89)</f>
        <v>3875756.2640123153</v>
      </c>
      <c r="S89" s="11">
        <v>0</v>
      </c>
      <c r="T89" s="11">
        <v>0</v>
      </c>
      <c r="U89" s="11">
        <v>153552.55208333334</v>
      </c>
      <c r="V89" s="1073"/>
      <c r="W89" s="1073">
        <v>1319300</v>
      </c>
      <c r="X89" s="11">
        <v>0</v>
      </c>
      <c r="Y89" s="1073"/>
      <c r="Z89" s="29">
        <f t="shared" si="17"/>
        <v>5348608.8160956483</v>
      </c>
      <c r="AD89" s="11" t="s">
        <v>1213</v>
      </c>
      <c r="AG89" s="11">
        <v>3068757.2719999999</v>
      </c>
      <c r="AH89" s="11">
        <v>0</v>
      </c>
      <c r="AI89" s="11">
        <v>3782108.8936123149</v>
      </c>
      <c r="AJ89" s="11">
        <f t="shared" ref="AJ89" si="23">P89-AI89</f>
        <v>93647.370400000364</v>
      </c>
      <c r="AM89" s="30">
        <v>6905</v>
      </c>
    </row>
    <row r="90" spans="1:39" s="11" customFormat="1" x14ac:dyDescent="0.2">
      <c r="A90" s="9"/>
      <c r="B90" s="26"/>
      <c r="R90" s="29"/>
      <c r="Z90" s="29"/>
      <c r="AM90" s="30"/>
    </row>
    <row r="91" spans="1:39" s="11" customFormat="1" x14ac:dyDescent="0.2">
      <c r="A91" s="1" t="s">
        <v>115</v>
      </c>
      <c r="B91" s="24" t="s">
        <v>115</v>
      </c>
      <c r="C91" s="29">
        <f t="shared" ref="C91:Z91" si="24">SUM(C76:C90)</f>
        <v>49972837.516800001</v>
      </c>
      <c r="D91" s="29">
        <f t="shared" si="24"/>
        <v>5611943.0170561848</v>
      </c>
      <c r="E91" s="29">
        <f t="shared" si="24"/>
        <v>87760.18819557142</v>
      </c>
      <c r="F91" s="29">
        <f t="shared" si="24"/>
        <v>3037955.7352070115</v>
      </c>
      <c r="G91" s="29">
        <f t="shared" si="24"/>
        <v>994350.06839836994</v>
      </c>
      <c r="H91" s="29">
        <f t="shared" si="24"/>
        <v>0</v>
      </c>
      <c r="I91" s="29">
        <f t="shared" si="24"/>
        <v>1950000</v>
      </c>
      <c r="J91" s="29">
        <f t="shared" si="24"/>
        <v>19329.921551105632</v>
      </c>
      <c r="K91" s="29">
        <f t="shared" si="24"/>
        <v>424196.94999999995</v>
      </c>
      <c r="L91" s="29">
        <f t="shared" si="24"/>
        <v>741717</v>
      </c>
      <c r="M91" s="29">
        <f t="shared" si="24"/>
        <v>62840090.397208236</v>
      </c>
      <c r="N91" s="29">
        <f t="shared" si="24"/>
        <v>185772.72940348927</v>
      </c>
      <c r="O91" s="29">
        <f t="shared" si="24"/>
        <v>0</v>
      </c>
      <c r="P91" s="29">
        <f t="shared" si="24"/>
        <v>63025863.126611732</v>
      </c>
      <c r="Q91" s="29">
        <f t="shared" ca="1" si="24"/>
        <v>-372808.5</v>
      </c>
      <c r="R91" s="29">
        <f t="shared" ca="1" si="24"/>
        <v>62653054.626611732</v>
      </c>
      <c r="S91" s="29">
        <f t="shared" si="24"/>
        <v>0</v>
      </c>
      <c r="T91" s="29">
        <f t="shared" si="24"/>
        <v>1118809.8700000001</v>
      </c>
      <c r="U91" s="29">
        <f t="shared" si="24"/>
        <v>631568.32291666663</v>
      </c>
      <c r="V91" s="29">
        <f t="shared" si="24"/>
        <v>0</v>
      </c>
      <c r="W91" s="29">
        <f t="shared" si="24"/>
        <v>8517053.1677419357</v>
      </c>
      <c r="X91" s="29">
        <f t="shared" si="24"/>
        <v>0</v>
      </c>
      <c r="Y91" s="29">
        <f t="shared" si="24"/>
        <v>0</v>
      </c>
      <c r="Z91" s="29">
        <f t="shared" ca="1" si="24"/>
        <v>72920485.98727034</v>
      </c>
      <c r="AB91" s="29"/>
      <c r="AC91" s="29"/>
      <c r="AE91" s="29"/>
      <c r="AF91" s="29"/>
      <c r="AG91" s="29">
        <f t="shared" ref="AG91:AJ91" si="25">SUM(AG76:AG90)</f>
        <v>48493453.169000015</v>
      </c>
      <c r="AH91" s="29">
        <f t="shared" si="25"/>
        <v>600399.42518674117</v>
      </c>
      <c r="AI91" s="29">
        <f t="shared" si="25"/>
        <v>61961105.474594995</v>
      </c>
      <c r="AJ91" s="29">
        <f t="shared" si="25"/>
        <v>1064757.6520167459</v>
      </c>
      <c r="AM91" s="30" t="s">
        <v>115</v>
      </c>
    </row>
    <row r="92" spans="1:39" s="11" customFormat="1" x14ac:dyDescent="0.2">
      <c r="A92" s="1"/>
      <c r="B92" s="24"/>
      <c r="C92" s="29"/>
      <c r="D92" s="29"/>
      <c r="E92" s="29"/>
      <c r="F92" s="29"/>
      <c r="G92" s="29"/>
      <c r="H92" s="29"/>
      <c r="I92" s="29"/>
      <c r="J92" s="29"/>
      <c r="K92" s="29"/>
      <c r="L92" s="29"/>
      <c r="M92" s="29"/>
      <c r="N92" s="29"/>
      <c r="O92" s="29"/>
      <c r="P92" s="29"/>
      <c r="Q92" s="29"/>
      <c r="R92" s="29"/>
      <c r="S92" s="29"/>
      <c r="T92" s="29"/>
      <c r="U92" s="29"/>
      <c r="V92" s="29"/>
      <c r="W92" s="29"/>
      <c r="X92" s="29"/>
      <c r="Y92" s="29"/>
      <c r="Z92" s="29"/>
      <c r="AM92" s="30"/>
    </row>
    <row r="93" spans="1:39" s="11" customFormat="1" x14ac:dyDescent="0.2">
      <c r="A93" s="9" t="s">
        <v>114</v>
      </c>
      <c r="B93" s="26">
        <v>4177</v>
      </c>
      <c r="C93" s="11">
        <f>VLOOKUP(B93,AWPU!$B1:'AWPU'!$N102,13,FALSE)</f>
        <v>2527026.7558500003</v>
      </c>
      <c r="D93" s="11">
        <f>DEP!O97+DEP!O98</f>
        <v>564522.573710775</v>
      </c>
      <c r="E93" s="11">
        <f>LAC!D100</f>
        <v>10704.403185056541</v>
      </c>
      <c r="F93" s="11">
        <f>VLOOKUP(B93,LCHI!$B$7:'LCHI'!$D$102,3,FALSE)</f>
        <v>305654.39599999989</v>
      </c>
      <c r="G93" s="11">
        <f>VLOOKUP(B93,EAL!$B$7:'EAL'!$G$101,6,FALSE)</f>
        <v>412249.45077321393</v>
      </c>
      <c r="H93" s="11">
        <f>VLOOKUP(B93,MOB!$B$7:'MOB'!$G$101,6,FALSE)</f>
        <v>154050.0019478242</v>
      </c>
      <c r="I93" s="11">
        <f>VLOOKUP(B93,'LUMP SUM'!$B$7:$C$101,2,FALSE)</f>
        <v>150000</v>
      </c>
      <c r="J93" s="11">
        <f>VLOOKUP(B93,'SPLIT SITE'!$B$7:'SPLIT SITE'!$C$101,2,FALSE)</f>
        <v>0</v>
      </c>
      <c r="K93" s="11">
        <f>VLOOKUP(B93,RATES!$D$8:'RATES'!$E$116,2,FALSE)</f>
        <v>12244.900000000005</v>
      </c>
      <c r="L93" s="11">
        <f>VLOOKUP(B93,PFI!$B$7:'PFI'!$C$102,2,FALSE)</f>
        <v>0</v>
      </c>
      <c r="M93" s="29">
        <f t="shared" ref="M93" si="26">SUM(C93:L93)</f>
        <v>4136452.4814668698</v>
      </c>
      <c r="N93" s="11">
        <f>SUMIF('2015-16 MFG'!B:B,B93,'2015-16 MFG'!W:W)</f>
        <v>0</v>
      </c>
      <c r="O93" s="11">
        <f>SUMIF('2015-16 MFG'!B:B,B93,'2015-16 MFG'!AC:AC)</f>
        <v>0</v>
      </c>
      <c r="P93" s="29">
        <f t="shared" ref="P93" si="27">SUM(M93:O93)</f>
        <v>4136452.4814668698</v>
      </c>
      <c r="Q93" s="11">
        <f ca="1">VLOOKUP(B93,'DE-DEL'!$B$7:'DE-DEL'!$N$101,13,FALSE)</f>
        <v>-50636.805</v>
      </c>
      <c r="R93" s="29">
        <f t="shared" ref="R93" ca="1" si="28">SUM(P93+Q93)</f>
        <v>4085815.6764668697</v>
      </c>
      <c r="S93" s="11">
        <v>17485</v>
      </c>
      <c r="T93" s="11">
        <v>826990.03500000003</v>
      </c>
      <c r="U93" s="11">
        <v>5826.5</v>
      </c>
      <c r="V93" s="11">
        <v>0</v>
      </c>
      <c r="W93" s="11">
        <v>302665</v>
      </c>
      <c r="X93" s="132">
        <v>42131.51003830359</v>
      </c>
      <c r="Z93" s="29">
        <f t="shared" ref="Z93" ca="1" si="29">SUM(R93:Y93)</f>
        <v>5280913.7215051726</v>
      </c>
      <c r="AD93" s="11" t="s">
        <v>1233</v>
      </c>
      <c r="AG93" s="11">
        <v>2449412.6141499998</v>
      </c>
      <c r="AH93" s="11">
        <v>65102.393430036958</v>
      </c>
      <c r="AI93" s="11">
        <v>4123940.7331969063</v>
      </c>
      <c r="AJ93" s="11">
        <f t="shared" ref="AJ93" si="30">P93-AI93</f>
        <v>12511.748269963544</v>
      </c>
      <c r="AM93" s="30">
        <v>4177</v>
      </c>
    </row>
    <row r="94" spans="1:39" s="11" customFormat="1" x14ac:dyDescent="0.2">
      <c r="A94" s="1"/>
      <c r="B94" s="24"/>
      <c r="C94" s="29"/>
      <c r="D94" s="29"/>
      <c r="E94" s="29"/>
      <c r="F94" s="29"/>
      <c r="G94" s="29"/>
      <c r="H94" s="29"/>
      <c r="I94" s="29"/>
      <c r="J94" s="29"/>
      <c r="K94" s="29"/>
      <c r="L94" s="29"/>
      <c r="M94" s="29"/>
      <c r="N94" s="29"/>
      <c r="O94" s="29"/>
      <c r="P94" s="29"/>
      <c r="Q94" s="29"/>
      <c r="R94" s="29"/>
      <c r="S94" s="29"/>
      <c r="T94" s="29"/>
      <c r="U94" s="29"/>
      <c r="V94" s="29"/>
      <c r="W94" s="29"/>
      <c r="X94" s="29"/>
      <c r="Y94" s="29"/>
      <c r="Z94" s="29"/>
      <c r="AM94" s="30"/>
    </row>
    <row r="95" spans="1:39" s="11" customFormat="1" x14ac:dyDescent="0.2">
      <c r="A95" s="1" t="s">
        <v>914</v>
      </c>
      <c r="B95" s="1" t="s">
        <v>915</v>
      </c>
      <c r="C95" s="29">
        <f>C93</f>
        <v>2527026.7558500003</v>
      </c>
      <c r="D95" s="29">
        <f t="shared" ref="D95:Z95" si="31">D93</f>
        <v>564522.573710775</v>
      </c>
      <c r="E95" s="29">
        <f t="shared" si="31"/>
        <v>10704.403185056541</v>
      </c>
      <c r="F95" s="29">
        <f t="shared" si="31"/>
        <v>305654.39599999989</v>
      </c>
      <c r="G95" s="29">
        <f t="shared" si="31"/>
        <v>412249.45077321393</v>
      </c>
      <c r="H95" s="29">
        <f t="shared" si="31"/>
        <v>154050.0019478242</v>
      </c>
      <c r="I95" s="29">
        <f t="shared" si="31"/>
        <v>150000</v>
      </c>
      <c r="J95" s="29">
        <f t="shared" si="31"/>
        <v>0</v>
      </c>
      <c r="K95" s="29">
        <f t="shared" si="31"/>
        <v>12244.900000000005</v>
      </c>
      <c r="L95" s="29">
        <f t="shared" si="31"/>
        <v>0</v>
      </c>
      <c r="M95" s="29">
        <f t="shared" si="31"/>
        <v>4136452.4814668698</v>
      </c>
      <c r="N95" s="29">
        <f t="shared" si="31"/>
        <v>0</v>
      </c>
      <c r="O95" s="29">
        <f t="shared" si="31"/>
        <v>0</v>
      </c>
      <c r="P95" s="29">
        <f t="shared" si="31"/>
        <v>4136452.4814668698</v>
      </c>
      <c r="Q95" s="29">
        <f t="shared" ca="1" si="31"/>
        <v>-50636.805</v>
      </c>
      <c r="R95" s="29">
        <f t="shared" ca="1" si="31"/>
        <v>4085815.6764668697</v>
      </c>
      <c r="S95" s="29">
        <f t="shared" si="31"/>
        <v>17485</v>
      </c>
      <c r="T95" s="29">
        <f t="shared" si="31"/>
        <v>826990.03500000003</v>
      </c>
      <c r="U95" s="29">
        <f t="shared" si="31"/>
        <v>5826.5</v>
      </c>
      <c r="V95" s="29">
        <f t="shared" si="31"/>
        <v>0</v>
      </c>
      <c r="W95" s="29">
        <f t="shared" si="31"/>
        <v>302665</v>
      </c>
      <c r="X95" s="29">
        <f t="shared" si="31"/>
        <v>42131.51003830359</v>
      </c>
      <c r="Y95" s="29">
        <f t="shared" si="31"/>
        <v>0</v>
      </c>
      <c r="Z95" s="29">
        <f t="shared" ca="1" si="31"/>
        <v>5280913.7215051726</v>
      </c>
      <c r="AB95" s="29"/>
      <c r="AC95" s="29"/>
      <c r="AD95" s="29"/>
      <c r="AE95" s="29"/>
      <c r="AF95" s="29"/>
      <c r="AG95" s="29">
        <f>AG93</f>
        <v>2449412.6141499998</v>
      </c>
      <c r="AH95" s="29">
        <f>AH93</f>
        <v>65102.393430036958</v>
      </c>
      <c r="AI95" s="29">
        <f>AI93</f>
        <v>4123940.7331969063</v>
      </c>
      <c r="AJ95" s="29">
        <f>AJ93</f>
        <v>12511.748269963544</v>
      </c>
      <c r="AM95" s="30"/>
    </row>
    <row r="96" spans="1:39" s="11" customFormat="1" x14ac:dyDescent="0.2">
      <c r="A96" s="1"/>
      <c r="B96" s="26"/>
      <c r="R96" s="29"/>
      <c r="Z96" s="29"/>
      <c r="AM96" s="30"/>
    </row>
    <row r="97" spans="1:43" s="11" customFormat="1" ht="15" x14ac:dyDescent="0.25">
      <c r="A97" s="1121"/>
      <c r="B97" s="1122" t="s">
        <v>1327</v>
      </c>
      <c r="C97" s="131">
        <f>SUM(C91+C74+C95)</f>
        <v>108372744.17715</v>
      </c>
      <c r="D97" s="131">
        <f t="shared" ref="D97:Z97" si="32">SUM(D91+D74+D95)</f>
        <v>19096984.726803795</v>
      </c>
      <c r="E97" s="131">
        <f>SUM(E91+E74+E95)</f>
        <v>192821.16214147917</v>
      </c>
      <c r="F97" s="131">
        <f>SUM(F91+F74+F95)</f>
        <v>3343610.1312070112</v>
      </c>
      <c r="G97" s="131">
        <f t="shared" si="32"/>
        <v>4265826.0355406785</v>
      </c>
      <c r="H97" s="131">
        <f t="shared" si="32"/>
        <v>568469.81394798495</v>
      </c>
      <c r="I97" s="131">
        <f t="shared" si="32"/>
        <v>9200000</v>
      </c>
      <c r="J97" s="131">
        <f t="shared" si="32"/>
        <v>19329.921551105632</v>
      </c>
      <c r="K97" s="131">
        <f t="shared" si="32"/>
        <v>696019.32303999981</v>
      </c>
      <c r="L97" s="131">
        <f t="shared" si="32"/>
        <v>1033455</v>
      </c>
      <c r="M97" s="131">
        <f t="shared" si="32"/>
        <v>146789260.29138207</v>
      </c>
      <c r="N97" s="131">
        <f t="shared" si="32"/>
        <v>1254009.9424908133</v>
      </c>
      <c r="O97" s="131">
        <f t="shared" si="32"/>
        <v>0</v>
      </c>
      <c r="P97" s="131">
        <f>SUM(P91+P74+P95)</f>
        <v>148043270.23387289</v>
      </c>
      <c r="Q97" s="131">
        <f t="shared" ca="1" si="32"/>
        <v>-1934172.9849999999</v>
      </c>
      <c r="R97" s="131">
        <f t="shared" ca="1" si="32"/>
        <v>146109097.24887291</v>
      </c>
      <c r="S97" s="131">
        <f t="shared" si="32"/>
        <v>1338270</v>
      </c>
      <c r="T97" s="131">
        <f t="shared" si="32"/>
        <v>4637405.625</v>
      </c>
      <c r="U97" s="131">
        <f t="shared" si="32"/>
        <v>1717939.1458333335</v>
      </c>
      <c r="V97" s="131">
        <f t="shared" si="32"/>
        <v>0</v>
      </c>
      <c r="W97" s="131">
        <f>SUM(W91+W74+W95)</f>
        <v>8819718.1677419357</v>
      </c>
      <c r="X97" s="131">
        <f t="shared" si="32"/>
        <v>4153130.9545595818</v>
      </c>
      <c r="Y97" s="131">
        <f t="shared" si="32"/>
        <v>0</v>
      </c>
      <c r="Z97" s="131">
        <f t="shared" ca="1" si="32"/>
        <v>166775561.14200771</v>
      </c>
      <c r="AB97" s="29"/>
      <c r="AC97" s="29"/>
      <c r="AD97" s="29"/>
      <c r="AE97" s="29"/>
      <c r="AF97" s="29"/>
      <c r="AG97" s="132">
        <f>AG95+AG91+AG74</f>
        <v>104387460.49665003</v>
      </c>
      <c r="AH97" s="132">
        <f>AH95+AH91+AH74</f>
        <v>2827214.5326114851</v>
      </c>
      <c r="AI97" s="132">
        <f>AI95+AI91+AI74</f>
        <v>145631191.14349353</v>
      </c>
      <c r="AJ97" s="11">
        <f>AJ95+AJ91+AJ74</f>
        <v>2412079.090379335</v>
      </c>
      <c r="AM97" s="30"/>
    </row>
    <row r="98" spans="1:43" s="11" customFormat="1" x14ac:dyDescent="0.2">
      <c r="A98" s="30" t="s">
        <v>1328</v>
      </c>
      <c r="B98" s="22"/>
      <c r="C98" s="11">
        <f>C97-C89-C88-C72</f>
        <v>104625697.56545</v>
      </c>
      <c r="D98" s="11">
        <f t="shared" ref="D98:Z98" si="33">D97-D89-D88-D72</f>
        <v>18583168.108445521</v>
      </c>
      <c r="E98" s="11">
        <f t="shared" si="33"/>
        <v>184730.61979342723</v>
      </c>
      <c r="F98" s="11">
        <f t="shared" si="33"/>
        <v>3225655.4820336774</v>
      </c>
      <c r="G98" s="11">
        <f t="shared" si="33"/>
        <v>4087222.4089399483</v>
      </c>
      <c r="H98" s="11">
        <f t="shared" si="33"/>
        <v>561385.66582219861</v>
      </c>
      <c r="I98" s="11">
        <f t="shared" si="33"/>
        <v>8950000</v>
      </c>
      <c r="J98" s="11">
        <f t="shared" si="33"/>
        <v>19329.921551105632</v>
      </c>
      <c r="K98" s="11">
        <f t="shared" si="33"/>
        <v>648198.32303999981</v>
      </c>
      <c r="L98" s="11">
        <f t="shared" si="33"/>
        <v>1033455</v>
      </c>
      <c r="M98" s="11">
        <f t="shared" si="33"/>
        <v>141918843.09507591</v>
      </c>
      <c r="N98" s="11">
        <f t="shared" si="33"/>
        <v>1254009.9424908133</v>
      </c>
      <c r="O98" s="11">
        <f t="shared" si="33"/>
        <v>0</v>
      </c>
      <c r="P98" s="11">
        <f t="shared" si="33"/>
        <v>143172853.03756672</v>
      </c>
      <c r="Q98" s="11">
        <f t="shared" ca="1" si="33"/>
        <v>-1934172.9849999999</v>
      </c>
      <c r="R98" s="11">
        <f t="shared" ca="1" si="33"/>
        <v>141238680.05256674</v>
      </c>
      <c r="S98" s="11">
        <f t="shared" si="33"/>
        <v>1324190</v>
      </c>
      <c r="T98" s="11">
        <f t="shared" si="33"/>
        <v>4637405.625</v>
      </c>
      <c r="U98" s="11">
        <f t="shared" si="33"/>
        <v>1564386.5937500002</v>
      </c>
      <c r="V98" s="11">
        <f t="shared" si="33"/>
        <v>0</v>
      </c>
      <c r="W98" s="11">
        <f t="shared" si="33"/>
        <v>7500418.1677419357</v>
      </c>
      <c r="X98" s="11">
        <f t="shared" si="33"/>
        <v>4153130.9545595818</v>
      </c>
      <c r="Y98" s="11">
        <f t="shared" si="33"/>
        <v>0</v>
      </c>
      <c r="Z98" s="11">
        <f t="shared" ca="1" si="33"/>
        <v>160418211.3936182</v>
      </c>
      <c r="AP98" s="30"/>
      <c r="AQ98" s="30"/>
    </row>
    <row r="99" spans="1:43" x14ac:dyDescent="0.2">
      <c r="A99" s="30" t="s">
        <v>1329</v>
      </c>
      <c r="C99" s="11">
        <f>C97-C88-C72</f>
        <v>107788102.20784999</v>
      </c>
      <c r="D99" s="11">
        <f t="shared" ref="D99:Z99" si="34">D97-D88-D72</f>
        <v>18938564.191636451</v>
      </c>
      <c r="E99" s="11">
        <f t="shared" si="34"/>
        <v>192821.16214147917</v>
      </c>
      <c r="F99" s="11">
        <f t="shared" si="34"/>
        <v>3343610.1312070112</v>
      </c>
      <c r="G99" s="11">
        <f t="shared" si="34"/>
        <v>4129939.2558399485</v>
      </c>
      <c r="H99" s="11">
        <f t="shared" si="34"/>
        <v>561385.66582219861</v>
      </c>
      <c r="I99" s="11">
        <f t="shared" si="34"/>
        <v>9100000</v>
      </c>
      <c r="J99" s="11">
        <f t="shared" si="34"/>
        <v>19329.921551105632</v>
      </c>
      <c r="K99" s="11">
        <f t="shared" si="34"/>
        <v>687391.82303999981</v>
      </c>
      <c r="L99" s="11">
        <f t="shared" si="34"/>
        <v>1033455</v>
      </c>
      <c r="M99" s="11">
        <f t="shared" si="34"/>
        <v>145794599.35908821</v>
      </c>
      <c r="N99" s="11">
        <f t="shared" si="34"/>
        <v>1254009.9424908133</v>
      </c>
      <c r="O99" s="11">
        <f t="shared" si="34"/>
        <v>0</v>
      </c>
      <c r="P99" s="11">
        <f t="shared" si="34"/>
        <v>147048609.30157903</v>
      </c>
      <c r="Q99" s="11">
        <f t="shared" ca="1" si="34"/>
        <v>-1934172.9849999999</v>
      </c>
      <c r="R99" s="11">
        <f t="shared" ca="1" si="34"/>
        <v>145114436.31657904</v>
      </c>
      <c r="S99" s="11">
        <f t="shared" si="34"/>
        <v>1324190</v>
      </c>
      <c r="T99" s="11">
        <f t="shared" si="34"/>
        <v>4637405.625</v>
      </c>
      <c r="U99" s="11">
        <f t="shared" si="34"/>
        <v>1717939.1458333335</v>
      </c>
      <c r="V99" s="11">
        <f t="shared" si="34"/>
        <v>0</v>
      </c>
      <c r="W99" s="11">
        <f t="shared" si="34"/>
        <v>8819718.1677419357</v>
      </c>
      <c r="X99" s="11">
        <f t="shared" si="34"/>
        <v>4153130.9545595818</v>
      </c>
      <c r="Y99" s="11">
        <f t="shared" si="34"/>
        <v>0</v>
      </c>
      <c r="Z99" s="11">
        <f t="shared" ca="1" si="34"/>
        <v>165766820.20971385</v>
      </c>
      <c r="AG99" s="11"/>
      <c r="AH99" s="11"/>
      <c r="AI99" s="11"/>
    </row>
    <row r="100" spans="1:43" x14ac:dyDescent="0.2">
      <c r="AG100" s="11"/>
      <c r="AH100" s="11"/>
      <c r="AI100" s="11"/>
    </row>
    <row r="101" spans="1:43" hidden="1" x14ac:dyDescent="0.2">
      <c r="A101" s="30" t="s">
        <v>1330</v>
      </c>
      <c r="B101" s="22" t="s">
        <v>0</v>
      </c>
      <c r="C101" s="11">
        <v>51387765.383024983</v>
      </c>
      <c r="D101" s="11">
        <v>12284856.175037136</v>
      </c>
      <c r="E101" s="11">
        <v>119272.27144706488</v>
      </c>
      <c r="F101" s="11">
        <v>0</v>
      </c>
      <c r="G101" s="11">
        <v>2510314.1532008522</v>
      </c>
      <c r="H101" s="11">
        <v>373508.14497325814</v>
      </c>
      <c r="I101" s="11">
        <v>7070000</v>
      </c>
      <c r="J101" s="11">
        <v>0</v>
      </c>
      <c r="K101" s="11">
        <v>1282074.31</v>
      </c>
      <c r="L101" s="11">
        <v>287616</v>
      </c>
      <c r="M101" s="11">
        <v>75315406.437683284</v>
      </c>
      <c r="N101" s="11">
        <v>2873233.5408003968</v>
      </c>
      <c r="O101" s="11">
        <v>-102339.19064193992</v>
      </c>
      <c r="P101" s="11">
        <v>77979460.439716801</v>
      </c>
      <c r="Q101" s="11">
        <v>1764253.8076640107</v>
      </c>
    </row>
    <row r="102" spans="1:43" hidden="1" x14ac:dyDescent="0.2">
      <c r="A102" s="30" t="s">
        <v>1330</v>
      </c>
      <c r="B102" s="22" t="s">
        <v>1</v>
      </c>
      <c r="C102" s="11">
        <v>47295818.83600001</v>
      </c>
      <c r="D102" s="11">
        <v>5457282.2166356398</v>
      </c>
      <c r="E102" s="11">
        <v>86649.552631025595</v>
      </c>
      <c r="F102" s="11">
        <v>3201102.2855521487</v>
      </c>
      <c r="G102" s="11">
        <v>1153689.5260409759</v>
      </c>
      <c r="H102" s="11">
        <v>104285.58609161468</v>
      </c>
      <c r="I102" s="11">
        <v>1950000</v>
      </c>
      <c r="J102" s="11">
        <v>19329.921551105632</v>
      </c>
      <c r="K102" s="11">
        <v>477812.18999999994</v>
      </c>
      <c r="L102" s="11">
        <v>723445</v>
      </c>
      <c r="M102" s="11">
        <v>60469415.114502527</v>
      </c>
      <c r="N102" s="11">
        <v>1091344.2082203599</v>
      </c>
      <c r="O102" s="11">
        <v>-107709.9478688448</v>
      </c>
      <c r="P102" s="11">
        <v>61559889.722979039</v>
      </c>
      <c r="Q102" s="11">
        <f ca="1">Q101+Q97</f>
        <v>-169919.1773359892</v>
      </c>
      <c r="AF102" s="11"/>
    </row>
    <row r="103" spans="1:43" ht="13.5" hidden="1" customHeight="1" x14ac:dyDescent="0.2">
      <c r="C103" s="1084">
        <f>C101+C102</f>
        <v>98683584.219024986</v>
      </c>
      <c r="D103" s="1084">
        <f t="shared" ref="D103:P103" si="35">D101+D102</f>
        <v>17742138.391672775</v>
      </c>
      <c r="E103" s="1084">
        <f t="shared" si="35"/>
        <v>205921.82407809049</v>
      </c>
      <c r="F103" s="1084">
        <f t="shared" si="35"/>
        <v>3201102.2855521487</v>
      </c>
      <c r="G103" s="1084">
        <f t="shared" si="35"/>
        <v>3664003.6792418282</v>
      </c>
      <c r="H103" s="1084">
        <f t="shared" si="35"/>
        <v>477793.73106487282</v>
      </c>
      <c r="I103" s="1084">
        <f t="shared" si="35"/>
        <v>9020000</v>
      </c>
      <c r="J103" s="1084">
        <f t="shared" si="35"/>
        <v>19329.921551105632</v>
      </c>
      <c r="K103" s="1084">
        <f t="shared" si="35"/>
        <v>1759886.5</v>
      </c>
      <c r="L103" s="1084">
        <f t="shared" si="35"/>
        <v>1011061</v>
      </c>
      <c r="M103" s="1084">
        <f t="shared" si="35"/>
        <v>135784821.5521858</v>
      </c>
      <c r="N103" s="1084">
        <f t="shared" si="35"/>
        <v>3964577.7490207567</v>
      </c>
      <c r="O103" s="1084">
        <f t="shared" si="35"/>
        <v>-210049.13851078472</v>
      </c>
      <c r="P103" s="1084">
        <f t="shared" si="35"/>
        <v>139539350.16269583</v>
      </c>
      <c r="AF103" s="11"/>
    </row>
    <row r="104" spans="1:43" hidden="1" x14ac:dyDescent="0.2">
      <c r="B104" s="22" t="s">
        <v>1331</v>
      </c>
      <c r="C104" s="23"/>
      <c r="D104" s="23"/>
      <c r="E104" s="23"/>
      <c r="F104" s="23"/>
      <c r="G104" s="23"/>
      <c r="H104" s="23"/>
      <c r="I104" s="23">
        <v>-70000</v>
      </c>
      <c r="J104" s="23"/>
      <c r="K104" s="23"/>
      <c r="L104" s="23"/>
      <c r="M104" s="23">
        <v>-70000</v>
      </c>
      <c r="P104" s="23">
        <f t="shared" ref="P104:P109" si="36">SUM(M104:O104)</f>
        <v>-70000</v>
      </c>
      <c r="AF104" s="11"/>
    </row>
    <row r="105" spans="1:43" hidden="1" x14ac:dyDescent="0.2">
      <c r="B105" s="22" t="s">
        <v>1332</v>
      </c>
      <c r="C105" s="23">
        <v>54946</v>
      </c>
      <c r="D105" s="23">
        <v>58483</v>
      </c>
      <c r="E105" s="23">
        <v>-3766</v>
      </c>
      <c r="F105" s="23"/>
      <c r="G105" s="23">
        <v>17538</v>
      </c>
      <c r="H105" s="23">
        <v>487</v>
      </c>
      <c r="I105" s="23"/>
      <c r="J105" s="23"/>
      <c r="K105" s="23"/>
      <c r="L105" s="23"/>
      <c r="M105" s="23">
        <v>135220</v>
      </c>
      <c r="N105" s="11">
        <v>-62164</v>
      </c>
      <c r="P105" s="23">
        <f t="shared" si="36"/>
        <v>73056</v>
      </c>
      <c r="AF105" s="11"/>
    </row>
    <row r="106" spans="1:43" hidden="1" x14ac:dyDescent="0.2">
      <c r="B106" s="22" t="s">
        <v>1333</v>
      </c>
      <c r="C106" s="23"/>
      <c r="D106" s="23"/>
      <c r="E106" s="23"/>
      <c r="F106" s="23"/>
      <c r="G106" s="23"/>
      <c r="H106" s="23"/>
      <c r="I106" s="23"/>
      <c r="J106" s="23"/>
      <c r="K106" s="23"/>
      <c r="L106" s="23"/>
      <c r="M106" s="23"/>
      <c r="N106" s="11">
        <v>145062.89054462221</v>
      </c>
      <c r="P106" s="23">
        <f t="shared" si="36"/>
        <v>145062.89054462221</v>
      </c>
    </row>
    <row r="107" spans="1:43" hidden="1" x14ac:dyDescent="0.2">
      <c r="B107" s="22" t="s">
        <v>1334</v>
      </c>
      <c r="C107" s="23"/>
      <c r="D107" s="23"/>
      <c r="E107" s="23"/>
      <c r="F107" s="23"/>
      <c r="G107" s="23"/>
      <c r="H107" s="23"/>
      <c r="I107" s="23"/>
      <c r="J107" s="23"/>
      <c r="K107" s="23"/>
      <c r="L107" s="23"/>
      <c r="M107" s="23"/>
      <c r="N107" s="11">
        <v>-935335.42789278924</v>
      </c>
      <c r="O107" s="11">
        <v>210049</v>
      </c>
      <c r="P107" s="23">
        <f t="shared" si="36"/>
        <v>-725286.42789278924</v>
      </c>
    </row>
    <row r="108" spans="1:43" hidden="1" x14ac:dyDescent="0.2">
      <c r="A108" s="30">
        <v>146160618</v>
      </c>
      <c r="B108" s="22" t="s">
        <v>1335</v>
      </c>
      <c r="C108" s="11">
        <f t="shared" ref="C108:M108" si="37">C89</f>
        <v>3162404.6424000002</v>
      </c>
      <c r="D108" s="11">
        <f t="shared" si="37"/>
        <v>355396.08319092944</v>
      </c>
      <c r="E108" s="11">
        <f t="shared" si="37"/>
        <v>8090.5423480519476</v>
      </c>
      <c r="F108" s="11">
        <f t="shared" si="37"/>
        <v>117954.64917333356</v>
      </c>
      <c r="G108" s="11">
        <f t="shared" si="37"/>
        <v>42716.846899999931</v>
      </c>
      <c r="H108" s="11">
        <f t="shared" si="37"/>
        <v>0</v>
      </c>
      <c r="I108" s="11">
        <f t="shared" si="37"/>
        <v>150000</v>
      </c>
      <c r="J108" s="11">
        <f t="shared" si="37"/>
        <v>0</v>
      </c>
      <c r="K108" s="11">
        <f t="shared" si="37"/>
        <v>39193.5</v>
      </c>
      <c r="L108" s="11">
        <f t="shared" si="37"/>
        <v>0</v>
      </c>
      <c r="M108" s="11">
        <f t="shared" si="37"/>
        <v>3875756.2640123153</v>
      </c>
      <c r="P108" s="23">
        <f t="shared" si="36"/>
        <v>3875756.2640123153</v>
      </c>
    </row>
    <row r="109" spans="1:43" hidden="1" x14ac:dyDescent="0.2">
      <c r="A109" s="11">
        <f>A108-P97</f>
        <v>-1882652.2338728905</v>
      </c>
      <c r="B109" s="22" t="s">
        <v>1336</v>
      </c>
      <c r="C109" s="11">
        <f t="shared" ref="C109:M109" si="38">C72+C88</f>
        <v>584641.9693</v>
      </c>
      <c r="D109" s="11">
        <f t="shared" si="38"/>
        <v>158420.53516734391</v>
      </c>
      <c r="E109" s="11">
        <f t="shared" si="38"/>
        <v>0</v>
      </c>
      <c r="F109" s="11">
        <f t="shared" si="38"/>
        <v>0</v>
      </c>
      <c r="G109" s="11">
        <f t="shared" si="38"/>
        <v>135886.77970073</v>
      </c>
      <c r="H109" s="11">
        <f t="shared" si="38"/>
        <v>7084.1481257862761</v>
      </c>
      <c r="I109" s="11">
        <f t="shared" si="38"/>
        <v>100000</v>
      </c>
      <c r="J109" s="11">
        <f t="shared" si="38"/>
        <v>0</v>
      </c>
      <c r="K109" s="11">
        <f t="shared" si="38"/>
        <v>8627.5</v>
      </c>
      <c r="L109" s="11">
        <f t="shared" si="38"/>
        <v>0</v>
      </c>
      <c r="M109" s="11">
        <f t="shared" si="38"/>
        <v>994660.93229386024</v>
      </c>
      <c r="P109" s="23">
        <f t="shared" si="36"/>
        <v>994660.93229386024</v>
      </c>
    </row>
    <row r="110" spans="1:43" hidden="1" x14ac:dyDescent="0.2">
      <c r="A110" s="11">
        <f>2842951-N97</f>
        <v>1588941.0575091867</v>
      </c>
    </row>
    <row r="111" spans="1:43" hidden="1" x14ac:dyDescent="0.2">
      <c r="A111" s="30" t="s">
        <v>1337</v>
      </c>
      <c r="AP111" s="11"/>
      <c r="AQ111" s="11"/>
    </row>
    <row r="112" spans="1:43" s="11" customFormat="1" ht="15" hidden="1" x14ac:dyDescent="0.25">
      <c r="A112" s="1" t="s">
        <v>1338</v>
      </c>
      <c r="B112" s="40" t="s">
        <v>517</v>
      </c>
      <c r="C112" s="29">
        <v>102432550.470725</v>
      </c>
      <c r="D112" s="29">
        <v>18287293.35276008</v>
      </c>
      <c r="E112" s="29">
        <v>215383.15736899956</v>
      </c>
      <c r="F112" s="29">
        <v>3338770.4424793012</v>
      </c>
      <c r="G112" s="29">
        <v>3743898.1994418278</v>
      </c>
      <c r="H112" s="29">
        <v>492189.89106487279</v>
      </c>
      <c r="I112" s="29">
        <v>9200000</v>
      </c>
      <c r="J112" s="29">
        <v>19329.921551105632</v>
      </c>
      <c r="K112" s="29">
        <v>1759886.5</v>
      </c>
      <c r="L112" s="29">
        <v>1011061</v>
      </c>
      <c r="M112" s="29">
        <v>140500362.93539119</v>
      </c>
      <c r="N112" s="29">
        <v>3174305.2116725896</v>
      </c>
      <c r="O112" s="29">
        <v>0</v>
      </c>
      <c r="P112" s="29">
        <v>143674668.14706379</v>
      </c>
      <c r="Q112" s="29">
        <v>-1761948.141281042</v>
      </c>
      <c r="R112" s="29">
        <v>141912720.00578275</v>
      </c>
      <c r="S112" s="29">
        <v>1338091</v>
      </c>
      <c r="T112" s="29">
        <v>4303784.5600000005</v>
      </c>
      <c r="U112" s="29">
        <v>1301218</v>
      </c>
      <c r="V112" s="29">
        <v>53057</v>
      </c>
      <c r="W112" s="29">
        <v>4754155</v>
      </c>
      <c r="X112" s="29">
        <v>4359597.3396683987</v>
      </c>
      <c r="Y112" s="29">
        <v>300645</v>
      </c>
      <c r="Z112" s="29">
        <v>158323267.90545115</v>
      </c>
      <c r="AP112" s="30"/>
      <c r="AQ112" s="30"/>
    </row>
    <row r="113" spans="1:19" hidden="1" x14ac:dyDescent="0.2">
      <c r="R113" s="29">
        <f>R11+R13+R30+R39+R61+R64+R72+R76+R79+R81+R84+R85+R86+R87+R88+R89</f>
        <v>45498150.693886019</v>
      </c>
    </row>
    <row r="114" spans="1:19" hidden="1" x14ac:dyDescent="0.2">
      <c r="P114" s="29">
        <v>143372347</v>
      </c>
      <c r="S114" s="11" t="s">
        <v>1339</v>
      </c>
    </row>
    <row r="115" spans="1:19" hidden="1" x14ac:dyDescent="0.2">
      <c r="R115" s="29">
        <f>R114-R113</f>
        <v>-45498150.693886019</v>
      </c>
    </row>
    <row r="116" spans="1:19" hidden="1" x14ac:dyDescent="0.2"/>
    <row r="117" spans="1:19" hidden="1" x14ac:dyDescent="0.2">
      <c r="B117" s="22" t="s">
        <v>1340</v>
      </c>
      <c r="C117" s="11">
        <f>AWPU!N102</f>
        <v>108372744.17714998</v>
      </c>
      <c r="D117" s="11">
        <f>DEP!O101</f>
        <v>19096984.726803795</v>
      </c>
      <c r="E117" s="11">
        <f>LAC!D102</f>
        <v>192821.16214147917</v>
      </c>
      <c r="F117" s="11">
        <f>LCHI!D102</f>
        <v>3343610.1312070112</v>
      </c>
      <c r="G117" s="11">
        <f>EAL!G101</f>
        <v>4265826.0355406785</v>
      </c>
      <c r="H117" s="11">
        <f>MOB!G101</f>
        <v>568469.81394798495</v>
      </c>
      <c r="I117" s="11">
        <f>'LUMP SUM'!C101</f>
        <v>9200000</v>
      </c>
      <c r="J117" s="11">
        <f>'SPLIT SITE'!C101</f>
        <v>19329.921551105632</v>
      </c>
      <c r="K117" s="11">
        <f>RATES!E119</f>
        <v>696019.32303999993</v>
      </c>
      <c r="L117" s="11">
        <f>PFI!C102</f>
        <v>1033455</v>
      </c>
      <c r="M117" s="11">
        <f>SUM(C117:L117)</f>
        <v>146789260.29138201</v>
      </c>
      <c r="N117" s="11">
        <f>N97</f>
        <v>1254009.9424908133</v>
      </c>
      <c r="P117" s="11">
        <f>P97</f>
        <v>148043270.23387289</v>
      </c>
    </row>
    <row r="118" spans="1:19" hidden="1" x14ac:dyDescent="0.2">
      <c r="B118" s="22" t="s">
        <v>1341</v>
      </c>
      <c r="C118" s="11">
        <f t="shared" ref="C118:M118" si="39">C117-C97</f>
        <v>0</v>
      </c>
      <c r="D118" s="11">
        <f t="shared" si="39"/>
        <v>0</v>
      </c>
      <c r="E118" s="11">
        <f t="shared" si="39"/>
        <v>0</v>
      </c>
      <c r="F118" s="11">
        <f t="shared" si="39"/>
        <v>0</v>
      </c>
      <c r="G118" s="11">
        <f t="shared" si="39"/>
        <v>0</v>
      </c>
      <c r="H118" s="11">
        <f t="shared" si="39"/>
        <v>0</v>
      </c>
      <c r="I118" s="11">
        <f t="shared" si="39"/>
        <v>0</v>
      </c>
      <c r="J118" s="11">
        <f t="shared" si="39"/>
        <v>0</v>
      </c>
      <c r="K118" s="11">
        <f>K117-K97</f>
        <v>0</v>
      </c>
      <c r="L118" s="11">
        <f t="shared" si="39"/>
        <v>0</v>
      </c>
      <c r="M118" s="11">
        <f t="shared" si="39"/>
        <v>0</v>
      </c>
    </row>
    <row r="119" spans="1:19" hidden="1" x14ac:dyDescent="0.2"/>
    <row r="120" spans="1:19" hidden="1" x14ac:dyDescent="0.2">
      <c r="B120" s="22" t="s">
        <v>1342</v>
      </c>
      <c r="C120" s="11" t="e">
        <f>#REF!</f>
        <v>#REF!</v>
      </c>
      <c r="D120" s="11" t="e">
        <f>#REF!</f>
        <v>#REF!</v>
      </c>
      <c r="E120" s="11" t="e">
        <f>#REF!</f>
        <v>#REF!</v>
      </c>
      <c r="F120" s="11" t="e">
        <f>#REF!</f>
        <v>#REF!</v>
      </c>
      <c r="G120" s="11" t="e">
        <f>#REF!+#REF!</f>
        <v>#REF!</v>
      </c>
      <c r="H120" s="11" t="e">
        <f>#REF!</f>
        <v>#REF!</v>
      </c>
      <c r="I120" s="11" t="e">
        <f>#REF!</f>
        <v>#REF!</v>
      </c>
      <c r="J120" s="11" t="e">
        <f>#REF!</f>
        <v>#REF!</v>
      </c>
      <c r="K120" s="11" t="e">
        <f>#REF!</f>
        <v>#REF!</v>
      </c>
      <c r="L120" s="11" t="e">
        <f>#REF!</f>
        <v>#REF!</v>
      </c>
      <c r="M120" s="11" t="e">
        <f>#REF!</f>
        <v>#REF!</v>
      </c>
      <c r="N120" s="11" t="e">
        <f>#REF!</f>
        <v>#REF!</v>
      </c>
      <c r="P120" s="11" t="e">
        <f>#REF!+#REF!</f>
        <v>#REF!</v>
      </c>
      <c r="Q120" s="11" t="e">
        <f>-#REF!</f>
        <v>#REF!</v>
      </c>
    </row>
    <row r="121" spans="1:19" hidden="1" x14ac:dyDescent="0.2">
      <c r="A121" s="30" t="s">
        <v>1343</v>
      </c>
      <c r="C121" s="11" t="e">
        <f>C120-C117</f>
        <v>#REF!</v>
      </c>
      <c r="D121" s="11" t="e">
        <f t="shared" ref="D121:P121" si="40">D120-D117</f>
        <v>#REF!</v>
      </c>
      <c r="E121" s="11" t="e">
        <f t="shared" si="40"/>
        <v>#REF!</v>
      </c>
      <c r="F121" s="11" t="e">
        <f t="shared" si="40"/>
        <v>#REF!</v>
      </c>
      <c r="G121" s="11" t="e">
        <f t="shared" si="40"/>
        <v>#REF!</v>
      </c>
      <c r="H121" s="11" t="e">
        <f t="shared" si="40"/>
        <v>#REF!</v>
      </c>
      <c r="I121" s="11" t="e">
        <f t="shared" si="40"/>
        <v>#REF!</v>
      </c>
      <c r="J121" s="11" t="e">
        <f t="shared" si="40"/>
        <v>#REF!</v>
      </c>
      <c r="K121" s="11" t="e">
        <f t="shared" si="40"/>
        <v>#REF!</v>
      </c>
      <c r="L121" s="11" t="e">
        <f t="shared" si="40"/>
        <v>#REF!</v>
      </c>
      <c r="M121" s="11" t="e">
        <f t="shared" si="40"/>
        <v>#REF!</v>
      </c>
      <c r="N121" s="11" t="e">
        <f t="shared" si="40"/>
        <v>#REF!</v>
      </c>
      <c r="P121" s="11" t="e">
        <f t="shared" si="40"/>
        <v>#REF!</v>
      </c>
      <c r="Q121" s="11">
        <f ca="1">Q97</f>
        <v>-1934172.9849999999</v>
      </c>
    </row>
    <row r="122" spans="1:19" hidden="1" x14ac:dyDescent="0.2">
      <c r="A122" s="30" t="s">
        <v>1344</v>
      </c>
      <c r="B122" s="22" t="s">
        <v>1345</v>
      </c>
    </row>
    <row r="123" spans="1:19" hidden="1" x14ac:dyDescent="0.2">
      <c r="A123" s="30" t="s">
        <v>1346</v>
      </c>
      <c r="B123" s="1"/>
    </row>
    <row r="124" spans="1:19" hidden="1" x14ac:dyDescent="0.2">
      <c r="A124" s="30" t="s">
        <v>1346</v>
      </c>
      <c r="B124" s="1"/>
    </row>
    <row r="125" spans="1:19" hidden="1" x14ac:dyDescent="0.2">
      <c r="A125" s="30" t="s">
        <v>1346</v>
      </c>
      <c r="B125" s="1"/>
    </row>
    <row r="126" spans="1:19" hidden="1" x14ac:dyDescent="0.2">
      <c r="A126" s="30" t="s">
        <v>1347</v>
      </c>
      <c r="H126" s="1123"/>
    </row>
    <row r="127" spans="1:19" hidden="1" x14ac:dyDescent="0.2">
      <c r="A127" s="30" t="s">
        <v>1333</v>
      </c>
    </row>
    <row r="128" spans="1:19" hidden="1" x14ac:dyDescent="0.2">
      <c r="A128" s="30" t="s">
        <v>1348</v>
      </c>
    </row>
    <row r="129" spans="1:35" hidden="1" x14ac:dyDescent="0.2">
      <c r="A129" s="30" t="s">
        <v>1335</v>
      </c>
    </row>
    <row r="130" spans="1:35" hidden="1" x14ac:dyDescent="0.2">
      <c r="A130" s="30" t="s">
        <v>1349</v>
      </c>
    </row>
    <row r="131" spans="1:35" hidden="1" x14ac:dyDescent="0.2"/>
    <row r="132" spans="1:35" hidden="1" x14ac:dyDescent="0.2"/>
    <row r="133" spans="1:35" hidden="1" x14ac:dyDescent="0.2"/>
    <row r="134" spans="1:35" hidden="1" x14ac:dyDescent="0.2"/>
    <row r="136" spans="1:35" x14ac:dyDescent="0.2">
      <c r="C136" s="11">
        <v>104387460.49665003</v>
      </c>
      <c r="D136" s="11">
        <v>19096984.726803795</v>
      </c>
      <c r="E136" s="11">
        <v>192821.16214147917</v>
      </c>
      <c r="F136" s="11">
        <v>3343610.1312070112</v>
      </c>
      <c r="G136" s="11">
        <v>4265826.0355406785</v>
      </c>
      <c r="H136" s="11">
        <v>568469.81394798495</v>
      </c>
      <c r="I136" s="11">
        <v>9200000</v>
      </c>
      <c r="J136" s="11">
        <v>19329.921551105632</v>
      </c>
      <c r="K136" s="11">
        <v>696019.32303999981</v>
      </c>
      <c r="L136" s="11">
        <v>1033455</v>
      </c>
      <c r="M136" s="11">
        <v>142803976.61088201</v>
      </c>
      <c r="N136" s="11">
        <v>2827214.5326114851</v>
      </c>
      <c r="O136" s="11">
        <v>0</v>
      </c>
      <c r="P136" s="11">
        <v>145631191.14349353</v>
      </c>
      <c r="R136" s="11">
        <v>147418483.03933296</v>
      </c>
      <c r="AG136" s="11">
        <f>AG97</f>
        <v>104387460.49665003</v>
      </c>
      <c r="AH136" s="11">
        <f>AH97</f>
        <v>2827214.5326114851</v>
      </c>
      <c r="AI136" s="11">
        <f>AI97</f>
        <v>145631191.14349353</v>
      </c>
    </row>
    <row r="137" spans="1:35" x14ac:dyDescent="0.2">
      <c r="B137" s="22" t="s">
        <v>1350</v>
      </c>
      <c r="C137" s="11">
        <f>C97-C136</f>
        <v>3985283.6804999709</v>
      </c>
      <c r="D137" s="11">
        <f t="shared" ref="D137:AF137" si="41">D97-D136</f>
        <v>0</v>
      </c>
      <c r="E137" s="11">
        <f t="shared" si="41"/>
        <v>0</v>
      </c>
      <c r="F137" s="11">
        <f t="shared" si="41"/>
        <v>0</v>
      </c>
      <c r="G137" s="11">
        <f t="shared" si="41"/>
        <v>0</v>
      </c>
      <c r="H137" s="11">
        <f t="shared" si="41"/>
        <v>0</v>
      </c>
      <c r="I137" s="11">
        <f t="shared" si="41"/>
        <v>0</v>
      </c>
      <c r="J137" s="11">
        <f t="shared" si="41"/>
        <v>0</v>
      </c>
      <c r="K137" s="11">
        <f t="shared" si="41"/>
        <v>0</v>
      </c>
      <c r="L137" s="11">
        <f t="shared" si="41"/>
        <v>0</v>
      </c>
      <c r="M137" s="11">
        <f t="shared" si="41"/>
        <v>3985283.6805000603</v>
      </c>
      <c r="N137" s="11">
        <f t="shared" si="41"/>
        <v>-1573204.5901206718</v>
      </c>
      <c r="O137" s="11">
        <f t="shared" si="41"/>
        <v>0</v>
      </c>
      <c r="P137" s="11">
        <f t="shared" si="41"/>
        <v>2412079.0903793573</v>
      </c>
      <c r="R137" s="11"/>
      <c r="Z137" s="11"/>
      <c r="AA137" s="11">
        <f t="shared" si="41"/>
        <v>0</v>
      </c>
      <c r="AB137" s="11">
        <f t="shared" si="41"/>
        <v>0</v>
      </c>
      <c r="AC137" s="11">
        <f t="shared" si="41"/>
        <v>0</v>
      </c>
      <c r="AD137" s="11">
        <f t="shared" si="41"/>
        <v>0</v>
      </c>
      <c r="AE137" s="11">
        <f t="shared" si="41"/>
        <v>0</v>
      </c>
      <c r="AF137" s="11">
        <f t="shared" si="41"/>
        <v>0</v>
      </c>
      <c r="AG137" s="11"/>
      <c r="AH137" s="11"/>
      <c r="AI137" s="11"/>
    </row>
    <row r="139" spans="1:35" x14ac:dyDescent="0.2">
      <c r="T139" s="11" t="s">
        <v>144</v>
      </c>
      <c r="U139" s="11" t="s">
        <v>145</v>
      </c>
      <c r="Y139" s="1097" t="s">
        <v>571</v>
      </c>
      <c r="Z139" s="1099">
        <f>6948150.13632664-Z141</f>
        <v>4455946.6955761993</v>
      </c>
    </row>
    <row r="140" spans="1:35" x14ac:dyDescent="0.2">
      <c r="A140" s="30" t="s">
        <v>2</v>
      </c>
      <c r="B140" s="22">
        <v>1014</v>
      </c>
      <c r="K140" s="11">
        <v>9460.6200000000008</v>
      </c>
      <c r="U140" s="11">
        <v>0</v>
      </c>
      <c r="X140" s="11">
        <v>257463.69240042003</v>
      </c>
      <c r="Y140" s="1101" t="s">
        <v>1351</v>
      </c>
      <c r="Z140" s="1103">
        <f>'2015-16 Nursery Budget Final'!AS218</f>
        <v>4702378.4581659148</v>
      </c>
    </row>
    <row r="141" spans="1:35" x14ac:dyDescent="0.2">
      <c r="A141" s="455" t="s">
        <v>3</v>
      </c>
      <c r="B141" s="22">
        <v>1017</v>
      </c>
      <c r="D141" s="22"/>
      <c r="K141" s="11">
        <v>6364.62</v>
      </c>
      <c r="U141" s="11">
        <v>0</v>
      </c>
      <c r="X141" s="11">
        <v>183488.89980054222</v>
      </c>
      <c r="Y141" s="1101" t="s">
        <v>1352</v>
      </c>
      <c r="Z141" s="1103">
        <f>X148</f>
        <v>2492203.4407504406</v>
      </c>
    </row>
    <row r="142" spans="1:35" x14ac:dyDescent="0.2">
      <c r="A142" s="455" t="s">
        <v>4</v>
      </c>
      <c r="B142" s="457">
        <v>1006</v>
      </c>
      <c r="K142" s="11">
        <v>6258.4800000000005</v>
      </c>
      <c r="T142" s="132">
        <v>142055</v>
      </c>
      <c r="U142" s="11">
        <v>900.97499999999991</v>
      </c>
      <c r="X142" s="11">
        <v>280169.0176367946</v>
      </c>
      <c r="Y142" s="1101" t="s">
        <v>695</v>
      </c>
      <c r="Z142" s="1103">
        <v>80000</v>
      </c>
    </row>
    <row r="143" spans="1:35" x14ac:dyDescent="0.2">
      <c r="A143" s="1124" t="s">
        <v>692</v>
      </c>
      <c r="B143" s="457">
        <v>1008</v>
      </c>
      <c r="K143" s="11">
        <v>2372.8200000000006</v>
      </c>
      <c r="U143" s="11">
        <v>24101.081249999999</v>
      </c>
      <c r="X143" s="11">
        <v>382797.38135375228</v>
      </c>
      <c r="Y143" s="1108" t="s">
        <v>1353</v>
      </c>
      <c r="Z143" s="1110">
        <f>SUM(Z139:Z142)</f>
        <v>11730528.594492555</v>
      </c>
    </row>
    <row r="144" spans="1:35" x14ac:dyDescent="0.2">
      <c r="A144" s="459" t="s">
        <v>693</v>
      </c>
      <c r="B144" s="458">
        <v>1005</v>
      </c>
      <c r="K144" s="11">
        <v>13773.09</v>
      </c>
      <c r="T144" s="132">
        <v>110000</v>
      </c>
      <c r="U144" s="11">
        <v>900.97499999999991</v>
      </c>
      <c r="X144" s="11">
        <v>434337.54522393423</v>
      </c>
      <c r="Y144" s="1108" t="s">
        <v>76</v>
      </c>
      <c r="Z144" s="1110">
        <f>RATES!E17</f>
        <v>47892.56</v>
      </c>
    </row>
    <row r="145" spans="1:36" x14ac:dyDescent="0.2">
      <c r="A145" s="459" t="s">
        <v>7</v>
      </c>
      <c r="B145" s="458">
        <v>1010</v>
      </c>
      <c r="K145" s="11">
        <v>2317.3099999999995</v>
      </c>
      <c r="U145" s="11">
        <v>9760.5625</v>
      </c>
      <c r="X145" s="11">
        <v>265007.90433499718</v>
      </c>
      <c r="Y145" s="1125" t="s">
        <v>580</v>
      </c>
      <c r="Z145" s="1126">
        <f>Z144+Z143</f>
        <v>11778421.154492555</v>
      </c>
    </row>
    <row r="146" spans="1:36" x14ac:dyDescent="0.2">
      <c r="A146" s="459" t="s">
        <v>8</v>
      </c>
      <c r="B146" s="457">
        <v>1009</v>
      </c>
      <c r="K146" s="11">
        <v>4466.13</v>
      </c>
      <c r="U146" s="11">
        <v>9760.5625</v>
      </c>
      <c r="X146" s="11">
        <v>379020</v>
      </c>
    </row>
    <row r="147" spans="1:36" x14ac:dyDescent="0.2">
      <c r="A147" s="459" t="s">
        <v>9</v>
      </c>
      <c r="B147" s="457">
        <v>1015</v>
      </c>
      <c r="K147" s="11">
        <v>2879.4900000000002</v>
      </c>
      <c r="U147" s="11">
        <v>22824.7</v>
      </c>
      <c r="X147" s="11">
        <v>309919</v>
      </c>
    </row>
    <row r="148" spans="1:36" x14ac:dyDescent="0.2">
      <c r="A148" s="459" t="s">
        <v>147</v>
      </c>
      <c r="K148" s="29">
        <f>SUM(K140:K147)</f>
        <v>47892.56</v>
      </c>
      <c r="T148" s="1127">
        <f>SUM(T140:T147)</f>
        <v>252055</v>
      </c>
      <c r="U148" s="1127">
        <f>SUM(U140:U147)</f>
        <v>68248.856249999997</v>
      </c>
      <c r="X148" s="1128">
        <f>SUM(X140:X147)</f>
        <v>2492203.4407504406</v>
      </c>
    </row>
    <row r="149" spans="1:36" x14ac:dyDescent="0.2">
      <c r="X149" s="11">
        <v>47893</v>
      </c>
      <c r="Y149" s="11" t="s">
        <v>76</v>
      </c>
      <c r="Z149" s="11"/>
    </row>
    <row r="150" spans="1:36" x14ac:dyDescent="0.2">
      <c r="T150" s="11" t="s">
        <v>1354</v>
      </c>
      <c r="U150" s="11" t="s">
        <v>1354</v>
      </c>
      <c r="X150" s="11">
        <f>T148+U148</f>
        <v>320303.85625000001</v>
      </c>
      <c r="Y150" s="11" t="s">
        <v>1355</v>
      </c>
      <c r="Z150" s="11">
        <f ca="1">Z151-Z152</f>
        <v>0.44000005722045898</v>
      </c>
    </row>
    <row r="151" spans="1:36" s="1129" customFormat="1" x14ac:dyDescent="0.2">
      <c r="B151" s="1130"/>
      <c r="C151" s="1073"/>
      <c r="D151" s="1073"/>
      <c r="E151" s="1073"/>
      <c r="F151" s="1073"/>
      <c r="G151" s="1073"/>
      <c r="H151" s="1073"/>
      <c r="I151" s="1073"/>
      <c r="J151" s="1073"/>
      <c r="K151" s="1073"/>
      <c r="L151" s="1073"/>
      <c r="M151" s="1073"/>
      <c r="N151" s="1073"/>
      <c r="O151" s="1073"/>
      <c r="P151" s="1131">
        <f>P97</f>
        <v>148043270.23387289</v>
      </c>
      <c r="Q151" s="1131">
        <f ca="1">Q97</f>
        <v>-1934172.9849999999</v>
      </c>
      <c r="R151" s="1131">
        <f ca="1">R97</f>
        <v>146109097.24887291</v>
      </c>
      <c r="S151" s="1131">
        <f>S97</f>
        <v>1338270</v>
      </c>
      <c r="T151" s="1073">
        <f>T148+T97</f>
        <v>4889460.625</v>
      </c>
      <c r="U151" s="1073">
        <f>U148+U97</f>
        <v>1786188.0020833334</v>
      </c>
      <c r="V151" s="1131">
        <f>V97</f>
        <v>0</v>
      </c>
      <c r="W151" s="1131">
        <f>W97</f>
        <v>8819718.1677419357</v>
      </c>
      <c r="X151" s="1073">
        <f>X148+X97+Z140+Z142+X149+X150</f>
        <v>11795909.709725935</v>
      </c>
      <c r="Y151" s="1073">
        <f>-X150</f>
        <v>-320303.85625000001</v>
      </c>
      <c r="Z151" s="1131">
        <f ca="1">SUM(R151:Y151)</f>
        <v>174418339.89717412</v>
      </c>
      <c r="AA151" s="1073"/>
      <c r="AB151" s="1073"/>
      <c r="AC151" s="1073"/>
      <c r="AD151" s="1073"/>
      <c r="AE151" s="1073"/>
    </row>
    <row r="152" spans="1:36" x14ac:dyDescent="0.2">
      <c r="Z152" s="29">
        <f>'Summary for Prints'!AA117</f>
        <v>174418339.45717406</v>
      </c>
      <c r="AA152" s="11">
        <f ca="1">Z152-Z151</f>
        <v>-0.44000005722045898</v>
      </c>
    </row>
    <row r="153" spans="1:36" x14ac:dyDescent="0.2">
      <c r="B153" s="22">
        <v>1</v>
      </c>
      <c r="C153" s="11">
        <v>2</v>
      </c>
      <c r="D153" s="22">
        <v>3</v>
      </c>
      <c r="E153" s="11">
        <v>4</v>
      </c>
      <c r="F153" s="22">
        <v>5</v>
      </c>
      <c r="G153" s="11">
        <v>6</v>
      </c>
      <c r="H153" s="22">
        <v>7</v>
      </c>
      <c r="I153" s="11">
        <v>8</v>
      </c>
      <c r="J153" s="22">
        <v>9</v>
      </c>
      <c r="K153" s="11">
        <v>10</v>
      </c>
      <c r="L153" s="22">
        <v>11</v>
      </c>
      <c r="M153" s="11">
        <v>12</v>
      </c>
      <c r="N153" s="22">
        <v>13</v>
      </c>
      <c r="O153" s="11">
        <v>14</v>
      </c>
      <c r="P153" s="22">
        <v>15</v>
      </c>
      <c r="Q153" s="11">
        <v>16</v>
      </c>
      <c r="R153" s="22">
        <v>17</v>
      </c>
      <c r="S153" s="11">
        <v>18</v>
      </c>
      <c r="T153" s="22">
        <v>19</v>
      </c>
      <c r="U153" s="11">
        <v>20</v>
      </c>
      <c r="V153" s="22">
        <v>21</v>
      </c>
      <c r="W153" s="11">
        <v>22</v>
      </c>
      <c r="X153" s="22">
        <v>23</v>
      </c>
      <c r="Y153" s="11">
        <v>24</v>
      </c>
      <c r="Z153" s="22">
        <v>25</v>
      </c>
      <c r="AA153" s="11">
        <v>26</v>
      </c>
      <c r="AB153" s="22">
        <v>27</v>
      </c>
      <c r="AC153" s="11">
        <v>28</v>
      </c>
      <c r="AD153" s="22">
        <v>29</v>
      </c>
      <c r="AE153" s="11">
        <v>30</v>
      </c>
      <c r="AF153" s="22">
        <v>31</v>
      </c>
      <c r="AG153" s="11">
        <v>32</v>
      </c>
      <c r="AH153" s="22">
        <v>33</v>
      </c>
      <c r="AI153" s="11">
        <v>34</v>
      </c>
      <c r="AJ153" s="22">
        <v>35</v>
      </c>
    </row>
    <row r="158" spans="1:36" x14ac:dyDescent="0.2">
      <c r="Q158" s="457">
        <v>1008</v>
      </c>
      <c r="R158" s="454" t="s">
        <v>692</v>
      </c>
    </row>
    <row r="159" spans="1:36" x14ac:dyDescent="0.2">
      <c r="Q159" s="458">
        <v>1005</v>
      </c>
      <c r="R159" s="459" t="s">
        <v>693</v>
      </c>
    </row>
    <row r="160" spans="1:36" x14ac:dyDescent="0.2">
      <c r="Q160" s="457">
        <v>1006</v>
      </c>
      <c r="R160" s="459" t="s">
        <v>4</v>
      </c>
    </row>
    <row r="161" spans="1:18" x14ac:dyDescent="0.2">
      <c r="Q161" s="458">
        <v>1010</v>
      </c>
      <c r="R161" s="459" t="s">
        <v>7</v>
      </c>
    </row>
    <row r="162" spans="1:18" x14ac:dyDescent="0.2">
      <c r="Q162" s="457">
        <v>1009</v>
      </c>
      <c r="R162" s="459" t="s">
        <v>8</v>
      </c>
    </row>
    <row r="163" spans="1:18" x14ac:dyDescent="0.2">
      <c r="Q163" s="457">
        <v>1009</v>
      </c>
      <c r="R163" s="459" t="s">
        <v>9</v>
      </c>
    </row>
    <row r="168" spans="1:18" x14ac:dyDescent="0.2">
      <c r="A168" s="79" t="s">
        <v>249</v>
      </c>
      <c r="B168" s="79">
        <v>206189</v>
      </c>
    </row>
    <row r="169" spans="1:18" x14ac:dyDescent="0.2">
      <c r="A169" s="1158" t="s">
        <v>10</v>
      </c>
      <c r="B169" s="94">
        <v>2012</v>
      </c>
    </row>
    <row r="170" spans="1:18" x14ac:dyDescent="0.2">
      <c r="A170" s="1158" t="s">
        <v>73</v>
      </c>
      <c r="B170" s="94">
        <v>5414</v>
      </c>
    </row>
    <row r="171" spans="1:18" x14ac:dyDescent="0.2">
      <c r="A171" s="1158" t="s">
        <v>912</v>
      </c>
      <c r="B171" s="94">
        <v>4000</v>
      </c>
    </row>
    <row r="172" spans="1:18" x14ac:dyDescent="0.2">
      <c r="A172" s="79" t="s">
        <v>11</v>
      </c>
      <c r="B172" s="79">
        <v>2443</v>
      </c>
    </row>
    <row r="173" spans="1:18" x14ac:dyDescent="0.2">
      <c r="A173" s="1158" t="s">
        <v>94</v>
      </c>
      <c r="B173" s="94">
        <v>2442</v>
      </c>
    </row>
    <row r="174" spans="1:18" x14ac:dyDescent="0.2">
      <c r="A174" s="80" t="s">
        <v>252</v>
      </c>
      <c r="B174" s="80" t="s">
        <v>253</v>
      </c>
    </row>
    <row r="175" spans="1:18" x14ac:dyDescent="0.2">
      <c r="A175" s="79" t="s">
        <v>13</v>
      </c>
      <c r="B175" s="79">
        <v>2629</v>
      </c>
    </row>
    <row r="176" spans="1:18" x14ac:dyDescent="0.2">
      <c r="A176" s="1158" t="s">
        <v>14</v>
      </c>
      <c r="B176" s="94">
        <v>2509</v>
      </c>
    </row>
    <row r="177" spans="1:2" x14ac:dyDescent="0.2">
      <c r="A177" s="79" t="s">
        <v>2</v>
      </c>
      <c r="B177" s="79">
        <v>1014</v>
      </c>
    </row>
    <row r="178" spans="1:2" x14ac:dyDescent="0.2">
      <c r="A178" s="1158" t="s">
        <v>15</v>
      </c>
      <c r="B178" s="94">
        <v>2005</v>
      </c>
    </row>
    <row r="179" spans="1:2" x14ac:dyDescent="0.2">
      <c r="A179" s="79" t="s">
        <v>16</v>
      </c>
      <c r="B179" s="79">
        <v>2464</v>
      </c>
    </row>
    <row r="180" spans="1:2" x14ac:dyDescent="0.2">
      <c r="A180" s="661" t="s">
        <v>763</v>
      </c>
      <c r="B180" s="697" t="s">
        <v>765</v>
      </c>
    </row>
    <row r="181" spans="1:2" x14ac:dyDescent="0.2">
      <c r="A181" s="79" t="s">
        <v>17</v>
      </c>
      <c r="B181" s="79">
        <v>2004</v>
      </c>
    </row>
    <row r="182" spans="1:2" x14ac:dyDescent="0.2">
      <c r="A182" s="79" t="s">
        <v>18</v>
      </c>
      <c r="B182" s="79">
        <v>2405</v>
      </c>
    </row>
    <row r="183" spans="1:2" x14ac:dyDescent="0.2">
      <c r="A183" s="79" t="s">
        <v>254</v>
      </c>
      <c r="B183" s="79" t="s">
        <v>256</v>
      </c>
    </row>
    <row r="184" spans="1:2" ht="15" x14ac:dyDescent="0.25">
      <c r="A184" s="1160" t="s">
        <v>261</v>
      </c>
      <c r="B184" s="1162" t="s">
        <v>766</v>
      </c>
    </row>
    <row r="185" spans="1:2" x14ac:dyDescent="0.2">
      <c r="A185" s="1163" t="s">
        <v>257</v>
      </c>
      <c r="B185" s="1164" t="s">
        <v>258</v>
      </c>
    </row>
    <row r="186" spans="1:2" x14ac:dyDescent="0.2">
      <c r="A186" s="1160" t="s">
        <v>259</v>
      </c>
      <c r="B186" s="1165" t="s">
        <v>260</v>
      </c>
    </row>
    <row r="187" spans="1:2" x14ac:dyDescent="0.2">
      <c r="A187" s="79" t="s">
        <v>19</v>
      </c>
      <c r="B187" s="79">
        <v>2011</v>
      </c>
    </row>
    <row r="188" spans="1:2" x14ac:dyDescent="0.2">
      <c r="A188" s="80" t="s">
        <v>262</v>
      </c>
      <c r="B188" s="80" t="s">
        <v>263</v>
      </c>
    </row>
    <row r="189" spans="1:2" x14ac:dyDescent="0.2">
      <c r="A189" s="79" t="s">
        <v>20</v>
      </c>
      <c r="B189" s="79">
        <v>5201</v>
      </c>
    </row>
    <row r="190" spans="1:2" x14ac:dyDescent="0.2">
      <c r="A190" s="79" t="s">
        <v>264</v>
      </c>
      <c r="B190" s="79">
        <v>206124</v>
      </c>
    </row>
    <row r="191" spans="1:2" x14ac:dyDescent="0.2">
      <c r="A191" s="79" t="s">
        <v>21</v>
      </c>
      <c r="B191" s="79">
        <v>2433</v>
      </c>
    </row>
    <row r="192" spans="1:2" x14ac:dyDescent="0.2">
      <c r="A192" s="1158" t="s">
        <v>22</v>
      </c>
      <c r="B192" s="94">
        <v>2432</v>
      </c>
    </row>
    <row r="193" spans="1:2" x14ac:dyDescent="0.2">
      <c r="A193" s="79" t="s">
        <v>267</v>
      </c>
      <c r="B193" s="79" t="s">
        <v>269</v>
      </c>
    </row>
    <row r="194" spans="1:2" x14ac:dyDescent="0.2">
      <c r="A194" s="79" t="s">
        <v>199</v>
      </c>
      <c r="B194" s="79">
        <v>2447</v>
      </c>
    </row>
    <row r="195" spans="1:2" x14ac:dyDescent="0.2">
      <c r="A195" s="79" t="s">
        <v>23</v>
      </c>
      <c r="B195" s="79">
        <v>2512</v>
      </c>
    </row>
    <row r="196" spans="1:2" x14ac:dyDescent="0.2">
      <c r="A196" s="79" t="s">
        <v>270</v>
      </c>
      <c r="B196" s="79">
        <v>206126</v>
      </c>
    </row>
    <row r="197" spans="1:2" x14ac:dyDescent="0.2">
      <c r="A197" s="79" t="s">
        <v>272</v>
      </c>
      <c r="B197" s="79">
        <v>206111</v>
      </c>
    </row>
    <row r="198" spans="1:2" x14ac:dyDescent="0.2">
      <c r="A198" s="79" t="s">
        <v>274</v>
      </c>
      <c r="B198" s="79">
        <v>206091</v>
      </c>
    </row>
    <row r="199" spans="1:2" x14ac:dyDescent="0.2">
      <c r="A199" s="79" t="s">
        <v>24</v>
      </c>
      <c r="B199" s="79">
        <v>2456</v>
      </c>
    </row>
    <row r="200" spans="1:2" x14ac:dyDescent="0.2">
      <c r="A200" s="79" t="s">
        <v>3</v>
      </c>
      <c r="B200" s="79">
        <v>1017</v>
      </c>
    </row>
    <row r="201" spans="1:2" x14ac:dyDescent="0.2">
      <c r="A201" s="79" t="s">
        <v>25</v>
      </c>
      <c r="B201" s="79">
        <v>2449</v>
      </c>
    </row>
    <row r="202" spans="1:2" x14ac:dyDescent="0.2">
      <c r="A202" s="1158" t="s">
        <v>26</v>
      </c>
      <c r="B202" s="79">
        <v>2448</v>
      </c>
    </row>
    <row r="203" spans="1:2" x14ac:dyDescent="0.2">
      <c r="A203" s="79" t="s">
        <v>4</v>
      </c>
      <c r="B203" s="79">
        <v>1006</v>
      </c>
    </row>
    <row r="204" spans="1:2" x14ac:dyDescent="0.2">
      <c r="A204" s="79" t="s">
        <v>27</v>
      </c>
      <c r="B204" s="79">
        <v>2467</v>
      </c>
    </row>
    <row r="205" spans="1:2" x14ac:dyDescent="0.2">
      <c r="A205" s="1158" t="s">
        <v>75</v>
      </c>
      <c r="B205" s="94">
        <v>5402</v>
      </c>
    </row>
    <row r="206" spans="1:2" x14ac:dyDescent="0.2">
      <c r="A206" s="1158" t="s">
        <v>28</v>
      </c>
      <c r="B206" s="94">
        <v>2455</v>
      </c>
    </row>
    <row r="207" spans="1:2" x14ac:dyDescent="0.2">
      <c r="A207" s="1158" t="s">
        <v>29</v>
      </c>
      <c r="B207" s="94">
        <v>5203</v>
      </c>
    </row>
    <row r="208" spans="1:2" x14ac:dyDescent="0.2">
      <c r="A208" s="107" t="s">
        <v>30</v>
      </c>
      <c r="B208" s="79">
        <v>2451</v>
      </c>
    </row>
    <row r="209" spans="1:2" x14ac:dyDescent="0.2">
      <c r="A209" s="80" t="s">
        <v>276</v>
      </c>
      <c r="B209" s="80" t="s">
        <v>277</v>
      </c>
    </row>
    <row r="210" spans="1:2" x14ac:dyDescent="0.2">
      <c r="A210" s="79" t="s">
        <v>278</v>
      </c>
      <c r="B210" s="79">
        <v>206128</v>
      </c>
    </row>
    <row r="211" spans="1:2" x14ac:dyDescent="0.2">
      <c r="A211" s="1158" t="s">
        <v>452</v>
      </c>
      <c r="B211" s="94">
        <v>4002</v>
      </c>
    </row>
    <row r="212" spans="1:2" x14ac:dyDescent="0.2">
      <c r="A212" s="456" t="s">
        <v>455</v>
      </c>
      <c r="B212" s="79">
        <v>2430</v>
      </c>
    </row>
    <row r="213" spans="1:2" x14ac:dyDescent="0.2">
      <c r="A213" s="1167" t="s">
        <v>768</v>
      </c>
      <c r="B213" s="1169" t="s">
        <v>769</v>
      </c>
    </row>
    <row r="214" spans="1:2" x14ac:dyDescent="0.2">
      <c r="A214" s="1158" t="s">
        <v>68</v>
      </c>
      <c r="B214" s="94">
        <v>4608</v>
      </c>
    </row>
    <row r="215" spans="1:2" x14ac:dyDescent="0.2">
      <c r="A215" s="1158" t="s">
        <v>31</v>
      </c>
      <c r="B215" s="94">
        <v>2409</v>
      </c>
    </row>
    <row r="216" spans="1:2" x14ac:dyDescent="0.2">
      <c r="A216" s="1170" t="s">
        <v>281</v>
      </c>
      <c r="B216" s="1168" t="s">
        <v>282</v>
      </c>
    </row>
    <row r="217" spans="1:2" x14ac:dyDescent="0.2">
      <c r="A217" s="1171" t="s">
        <v>1401</v>
      </c>
      <c r="B217" s="1173" t="s">
        <v>771</v>
      </c>
    </row>
    <row r="218" spans="1:2" x14ac:dyDescent="0.2">
      <c r="A218" s="1174" t="s">
        <v>539</v>
      </c>
      <c r="B218" s="96">
        <v>205921</v>
      </c>
    </row>
    <row r="219" spans="1:2" x14ac:dyDescent="0.2">
      <c r="A219" s="1171" t="s">
        <v>1372</v>
      </c>
      <c r="B219" s="1154" t="s">
        <v>776</v>
      </c>
    </row>
    <row r="220" spans="1:2" x14ac:dyDescent="0.2">
      <c r="A220" s="1174" t="s">
        <v>538</v>
      </c>
      <c r="B220" s="96">
        <v>205999</v>
      </c>
    </row>
    <row r="221" spans="1:2" x14ac:dyDescent="0.2">
      <c r="A221" s="96" t="s">
        <v>537</v>
      </c>
      <c r="B221" s="95" t="s">
        <v>283</v>
      </c>
    </row>
    <row r="222" spans="1:2" x14ac:dyDescent="0.2">
      <c r="A222" s="1171" t="s">
        <v>1373</v>
      </c>
      <c r="B222" s="1153">
        <v>206065</v>
      </c>
    </row>
    <row r="223" spans="1:2" x14ac:dyDescent="0.2">
      <c r="A223" s="1175" t="s">
        <v>1375</v>
      </c>
      <c r="B223" s="1154" t="s">
        <v>787</v>
      </c>
    </row>
    <row r="224" spans="1:2" x14ac:dyDescent="0.2">
      <c r="A224" s="456" t="s">
        <v>589</v>
      </c>
      <c r="B224" s="1176" t="s">
        <v>288</v>
      </c>
    </row>
    <row r="225" spans="1:2" x14ac:dyDescent="0.2">
      <c r="A225" s="1177" t="s">
        <v>540</v>
      </c>
      <c r="B225" s="96">
        <v>205922</v>
      </c>
    </row>
    <row r="226" spans="1:2" x14ac:dyDescent="0.2">
      <c r="A226" s="456" t="s">
        <v>587</v>
      </c>
      <c r="B226" s="1154" t="s">
        <v>784</v>
      </c>
    </row>
    <row r="227" spans="1:2" x14ac:dyDescent="0.2">
      <c r="A227" s="1171" t="s">
        <v>1374</v>
      </c>
      <c r="B227" s="1154" t="s">
        <v>781</v>
      </c>
    </row>
    <row r="228" spans="1:2" x14ac:dyDescent="0.2">
      <c r="A228" s="1171" t="s">
        <v>1376</v>
      </c>
      <c r="B228" s="1178">
        <v>205919</v>
      </c>
    </row>
    <row r="229" spans="1:2" x14ac:dyDescent="0.2">
      <c r="A229" s="96" t="s">
        <v>541</v>
      </c>
      <c r="B229" s="95" t="s">
        <v>287</v>
      </c>
    </row>
    <row r="230" spans="1:2" x14ac:dyDescent="0.2">
      <c r="A230" s="1171" t="s">
        <v>1377</v>
      </c>
      <c r="B230" s="1179" t="s">
        <v>791</v>
      </c>
    </row>
    <row r="231" spans="1:2" x14ac:dyDescent="0.2">
      <c r="A231" s="1171" t="s">
        <v>1378</v>
      </c>
      <c r="B231" s="1169" t="s">
        <v>793</v>
      </c>
    </row>
    <row r="232" spans="1:2" x14ac:dyDescent="0.2">
      <c r="A232" s="1180" t="s">
        <v>1380</v>
      </c>
      <c r="B232" s="1154" t="s">
        <v>796</v>
      </c>
    </row>
    <row r="233" spans="1:2" x14ac:dyDescent="0.2">
      <c r="A233" s="1181" t="s">
        <v>1379</v>
      </c>
      <c r="B233" s="697">
        <v>205849</v>
      </c>
    </row>
    <row r="234" spans="1:2" x14ac:dyDescent="0.2">
      <c r="A234" s="456" t="s">
        <v>594</v>
      </c>
      <c r="B234" s="1176" t="s">
        <v>284</v>
      </c>
    </row>
    <row r="235" spans="1:2" x14ac:dyDescent="0.2">
      <c r="A235" s="1182" t="s">
        <v>1381</v>
      </c>
      <c r="B235" s="1154" t="s">
        <v>798</v>
      </c>
    </row>
    <row r="236" spans="1:2" x14ac:dyDescent="0.2">
      <c r="A236" s="1183" t="s">
        <v>1385</v>
      </c>
      <c r="B236" s="1184">
        <v>205922</v>
      </c>
    </row>
    <row r="237" spans="1:2" x14ac:dyDescent="0.2">
      <c r="A237" s="1185" t="s">
        <v>1384</v>
      </c>
      <c r="B237" s="1179">
        <v>205881</v>
      </c>
    </row>
    <row r="238" spans="1:2" x14ac:dyDescent="0.2">
      <c r="A238" s="1186" t="s">
        <v>1382</v>
      </c>
      <c r="B238" s="1187" t="s">
        <v>801</v>
      </c>
    </row>
    <row r="239" spans="1:2" x14ac:dyDescent="0.2">
      <c r="A239" s="1174" t="s">
        <v>542</v>
      </c>
      <c r="B239" s="96" t="s">
        <v>289</v>
      </c>
    </row>
    <row r="240" spans="1:2" x14ac:dyDescent="0.2">
      <c r="A240" s="1171" t="s">
        <v>1383</v>
      </c>
      <c r="B240" s="1179" t="s">
        <v>806</v>
      </c>
    </row>
    <row r="241" spans="1:2" x14ac:dyDescent="0.2">
      <c r="A241" s="1185" t="s">
        <v>807</v>
      </c>
      <c r="B241" s="1179" t="s">
        <v>808</v>
      </c>
    </row>
    <row r="242" spans="1:2" x14ac:dyDescent="0.2">
      <c r="A242" s="1185" t="s">
        <v>1386</v>
      </c>
      <c r="B242" s="1189" t="s">
        <v>811</v>
      </c>
    </row>
    <row r="243" spans="1:2" x14ac:dyDescent="0.2">
      <c r="A243" s="1181" t="s">
        <v>543</v>
      </c>
      <c r="B243" s="96">
        <v>2</v>
      </c>
    </row>
    <row r="244" spans="1:2" x14ac:dyDescent="0.2">
      <c r="A244" s="1192" t="s">
        <v>1387</v>
      </c>
      <c r="B244" s="1150" t="s">
        <v>668</v>
      </c>
    </row>
    <row r="245" spans="1:2" x14ac:dyDescent="0.2">
      <c r="A245" s="693" t="s">
        <v>1388</v>
      </c>
      <c r="B245" s="1179" t="s">
        <v>686</v>
      </c>
    </row>
    <row r="246" spans="1:2" x14ac:dyDescent="0.2">
      <c r="A246" s="96" t="s">
        <v>544</v>
      </c>
      <c r="B246" s="1184">
        <v>205956</v>
      </c>
    </row>
    <row r="247" spans="1:2" x14ac:dyDescent="0.2">
      <c r="A247" s="702" t="s">
        <v>1389</v>
      </c>
      <c r="B247" s="1169">
        <v>260849</v>
      </c>
    </row>
    <row r="248" spans="1:2" x14ac:dyDescent="0.2">
      <c r="A248" s="693" t="s">
        <v>1390</v>
      </c>
      <c r="B248" s="1169" t="s">
        <v>818</v>
      </c>
    </row>
    <row r="249" spans="1:2" x14ac:dyDescent="0.2">
      <c r="A249" s="1193" t="s">
        <v>1391</v>
      </c>
      <c r="B249" s="1165" t="s">
        <v>291</v>
      </c>
    </row>
    <row r="250" spans="1:2" x14ac:dyDescent="0.2">
      <c r="A250" s="1145" t="s">
        <v>1392</v>
      </c>
      <c r="B250" s="1154" t="s">
        <v>821</v>
      </c>
    </row>
    <row r="251" spans="1:2" x14ac:dyDescent="0.2">
      <c r="A251" s="1142" t="s">
        <v>1394</v>
      </c>
      <c r="B251" s="1154" t="s">
        <v>825</v>
      </c>
    </row>
    <row r="252" spans="1:2" x14ac:dyDescent="0.2">
      <c r="A252" s="1142" t="s">
        <v>1393</v>
      </c>
      <c r="B252" s="1189" t="s">
        <v>823</v>
      </c>
    </row>
    <row r="253" spans="1:2" x14ac:dyDescent="0.2">
      <c r="A253" s="583" t="s">
        <v>1396</v>
      </c>
      <c r="B253" s="1154" t="s">
        <v>830</v>
      </c>
    </row>
    <row r="254" spans="1:2" x14ac:dyDescent="0.2">
      <c r="A254" s="1143" t="s">
        <v>1395</v>
      </c>
      <c r="B254" s="1154" t="s">
        <v>827</v>
      </c>
    </row>
    <row r="255" spans="1:2" x14ac:dyDescent="0.2">
      <c r="A255" s="1181" t="s">
        <v>591</v>
      </c>
      <c r="B255" s="95" t="s">
        <v>293</v>
      </c>
    </row>
    <row r="256" spans="1:2" x14ac:dyDescent="0.2">
      <c r="A256" s="1142" t="s">
        <v>1402</v>
      </c>
      <c r="B256" s="697" t="s">
        <v>833</v>
      </c>
    </row>
    <row r="257" spans="1:2" x14ac:dyDescent="0.2">
      <c r="A257" s="1142" t="s">
        <v>1403</v>
      </c>
      <c r="B257" s="1154" t="s">
        <v>835</v>
      </c>
    </row>
    <row r="258" spans="1:2" x14ac:dyDescent="0.2">
      <c r="A258" s="1174" t="s">
        <v>547</v>
      </c>
      <c r="B258" s="95" t="s">
        <v>295</v>
      </c>
    </row>
    <row r="259" spans="1:2" x14ac:dyDescent="0.2">
      <c r="A259" s="1148" t="s">
        <v>1397</v>
      </c>
      <c r="B259" s="1154">
        <v>206031</v>
      </c>
    </row>
    <row r="260" spans="1:2" x14ac:dyDescent="0.2">
      <c r="A260" s="1174" t="s">
        <v>546</v>
      </c>
      <c r="B260" s="95" t="s">
        <v>296</v>
      </c>
    </row>
    <row r="261" spans="1:2" x14ac:dyDescent="0.2">
      <c r="A261" s="96" t="s">
        <v>545</v>
      </c>
      <c r="B261" s="95" t="s">
        <v>294</v>
      </c>
    </row>
    <row r="262" spans="1:2" x14ac:dyDescent="0.2">
      <c r="A262" s="1143" t="s">
        <v>1398</v>
      </c>
      <c r="B262" s="1154" t="s">
        <v>840</v>
      </c>
    </row>
    <row r="263" spans="1:2" x14ac:dyDescent="0.2">
      <c r="A263" s="96" t="s">
        <v>1371</v>
      </c>
      <c r="B263" s="95" t="s">
        <v>298</v>
      </c>
    </row>
    <row r="264" spans="1:2" x14ac:dyDescent="0.2">
      <c r="A264" s="1143" t="s">
        <v>1407</v>
      </c>
      <c r="B264" s="1179" t="s">
        <v>844</v>
      </c>
    </row>
    <row r="265" spans="1:2" x14ac:dyDescent="0.2">
      <c r="A265" s="1181" t="s">
        <v>592</v>
      </c>
      <c r="B265" s="1184">
        <v>206043</v>
      </c>
    </row>
    <row r="266" spans="1:2" x14ac:dyDescent="0.2">
      <c r="A266" s="1177" t="s">
        <v>548</v>
      </c>
      <c r="B266" s="95" t="s">
        <v>299</v>
      </c>
    </row>
    <row r="267" spans="1:2" x14ac:dyDescent="0.2">
      <c r="A267" s="1194" t="s">
        <v>590</v>
      </c>
      <c r="B267" s="1195" t="s">
        <v>292</v>
      </c>
    </row>
    <row r="268" spans="1:2" x14ac:dyDescent="0.2">
      <c r="A268" s="1196" t="s">
        <v>593</v>
      </c>
      <c r="B268" s="1197" t="s">
        <v>297</v>
      </c>
    </row>
    <row r="269" spans="1:2" x14ac:dyDescent="0.2">
      <c r="A269" s="1143" t="s">
        <v>1406</v>
      </c>
      <c r="B269" s="1154">
        <v>206067</v>
      </c>
    </row>
    <row r="270" spans="1:2" ht="15" x14ac:dyDescent="0.2">
      <c r="A270" s="1177" t="s">
        <v>549</v>
      </c>
      <c r="B270" s="97" t="s">
        <v>300</v>
      </c>
    </row>
    <row r="271" spans="1:2" x14ac:dyDescent="0.2">
      <c r="A271" s="1190" t="s">
        <v>1400</v>
      </c>
      <c r="B271" s="1191" t="s">
        <v>290</v>
      </c>
    </row>
    <row r="272" spans="1:2" x14ac:dyDescent="0.2">
      <c r="A272" s="1198" t="s">
        <v>550</v>
      </c>
      <c r="B272" s="98" t="s">
        <v>301</v>
      </c>
    </row>
    <row r="273" spans="1:2" x14ac:dyDescent="0.2">
      <c r="A273" s="1147" t="s">
        <v>1404</v>
      </c>
      <c r="B273" s="1209" t="s">
        <v>854</v>
      </c>
    </row>
    <row r="274" spans="1:2" x14ac:dyDescent="0.2">
      <c r="A274" s="456" t="s">
        <v>595</v>
      </c>
      <c r="B274" s="1176" t="s">
        <v>285</v>
      </c>
    </row>
    <row r="275" spans="1:2" x14ac:dyDescent="0.2">
      <c r="A275" s="1147" t="s">
        <v>1405</v>
      </c>
      <c r="B275" s="1209" t="s">
        <v>856</v>
      </c>
    </row>
    <row r="276" spans="1:2" x14ac:dyDescent="0.2">
      <c r="A276" s="87" t="s">
        <v>302</v>
      </c>
      <c r="B276" s="88" t="s">
        <v>303</v>
      </c>
    </row>
    <row r="277" spans="1:2" x14ac:dyDescent="0.2">
      <c r="A277" s="79" t="s">
        <v>304</v>
      </c>
      <c r="B277" s="79" t="s">
        <v>306</v>
      </c>
    </row>
    <row r="278" spans="1:2" x14ac:dyDescent="0.2">
      <c r="A278" s="1144" t="s">
        <v>858</v>
      </c>
      <c r="B278" s="1169" t="s">
        <v>859</v>
      </c>
    </row>
    <row r="279" spans="1:2" x14ac:dyDescent="0.2">
      <c r="A279" s="1158" t="s">
        <v>111</v>
      </c>
      <c r="B279" s="94">
        <v>4178</v>
      </c>
    </row>
    <row r="280" spans="1:2" x14ac:dyDescent="0.2">
      <c r="A280" s="1158" t="s">
        <v>98</v>
      </c>
      <c r="B280" s="94">
        <v>3158</v>
      </c>
    </row>
    <row r="281" spans="1:2" x14ac:dyDescent="0.2">
      <c r="A281" s="79" t="s">
        <v>32</v>
      </c>
      <c r="B281" s="79">
        <v>2619</v>
      </c>
    </row>
    <row r="282" spans="1:2" x14ac:dyDescent="0.2">
      <c r="A282" s="1141" t="s">
        <v>860</v>
      </c>
      <c r="B282" s="1154" t="s">
        <v>861</v>
      </c>
    </row>
    <row r="283" spans="1:2" x14ac:dyDescent="0.2">
      <c r="A283" s="79" t="s">
        <v>307</v>
      </c>
      <c r="B283" s="80" t="s">
        <v>308</v>
      </c>
    </row>
    <row r="284" spans="1:2" x14ac:dyDescent="0.2">
      <c r="A284" s="79" t="s">
        <v>309</v>
      </c>
      <c r="B284" s="79">
        <v>258417</v>
      </c>
    </row>
    <row r="285" spans="1:2" x14ac:dyDescent="0.2">
      <c r="A285" s="79" t="s">
        <v>311</v>
      </c>
      <c r="B285" s="79" t="s">
        <v>313</v>
      </c>
    </row>
    <row r="286" spans="1:2" x14ac:dyDescent="0.2">
      <c r="A286" s="79" t="s">
        <v>314</v>
      </c>
      <c r="B286" s="79" t="s">
        <v>316</v>
      </c>
    </row>
    <row r="287" spans="1:2" x14ac:dyDescent="0.2">
      <c r="A287" s="79" t="s">
        <v>33</v>
      </c>
      <c r="B287" s="79">
        <v>2518</v>
      </c>
    </row>
    <row r="288" spans="1:2" x14ac:dyDescent="0.2">
      <c r="A288" s="1141" t="s">
        <v>862</v>
      </c>
      <c r="B288" s="1210" t="s">
        <v>863</v>
      </c>
    </row>
    <row r="289" spans="1:2" x14ac:dyDescent="0.2">
      <c r="A289" s="79" t="s">
        <v>317</v>
      </c>
      <c r="B289" s="79">
        <v>206106</v>
      </c>
    </row>
    <row r="290" spans="1:2" x14ac:dyDescent="0.2">
      <c r="A290" s="80" t="s">
        <v>319</v>
      </c>
      <c r="B290" s="80" t="s">
        <v>320</v>
      </c>
    </row>
    <row r="291" spans="1:2" x14ac:dyDescent="0.2">
      <c r="A291" s="1144" t="s">
        <v>864</v>
      </c>
      <c r="B291" s="1169" t="s">
        <v>865</v>
      </c>
    </row>
    <row r="292" spans="1:2" x14ac:dyDescent="0.2">
      <c r="A292" s="1158" t="s">
        <v>34</v>
      </c>
      <c r="B292" s="94">
        <v>2457</v>
      </c>
    </row>
    <row r="293" spans="1:2" x14ac:dyDescent="0.2">
      <c r="A293" s="1158" t="s">
        <v>99</v>
      </c>
      <c r="B293" s="79">
        <v>2010</v>
      </c>
    </row>
    <row r="294" spans="1:2" x14ac:dyDescent="0.2">
      <c r="A294" s="79" t="s">
        <v>35</v>
      </c>
      <c r="B294" s="79">
        <v>2002</v>
      </c>
    </row>
    <row r="295" spans="1:2" x14ac:dyDescent="0.2">
      <c r="A295" s="79" t="s">
        <v>36</v>
      </c>
      <c r="B295" s="79">
        <v>3544</v>
      </c>
    </row>
    <row r="296" spans="1:2" x14ac:dyDescent="0.2">
      <c r="A296" s="79" t="s">
        <v>5</v>
      </c>
      <c r="B296" s="79">
        <v>1008</v>
      </c>
    </row>
    <row r="297" spans="1:2" x14ac:dyDescent="0.2">
      <c r="A297" s="79" t="s">
        <v>321</v>
      </c>
      <c r="B297" s="79" t="s">
        <v>322</v>
      </c>
    </row>
    <row r="298" spans="1:2" x14ac:dyDescent="0.2">
      <c r="A298" s="79" t="s">
        <v>100</v>
      </c>
      <c r="B298" s="79">
        <v>2006</v>
      </c>
    </row>
    <row r="299" spans="1:2" x14ac:dyDescent="0.2">
      <c r="A299" s="80" t="s">
        <v>323</v>
      </c>
      <c r="B299" s="80" t="s">
        <v>324</v>
      </c>
    </row>
    <row r="300" spans="1:2" x14ac:dyDescent="0.2">
      <c r="A300" s="79" t="s">
        <v>325</v>
      </c>
      <c r="B300" s="79">
        <v>206133</v>
      </c>
    </row>
    <row r="301" spans="1:2" x14ac:dyDescent="0.2">
      <c r="A301" s="1149" t="s">
        <v>867</v>
      </c>
      <c r="B301" s="1169" t="s">
        <v>868</v>
      </c>
    </row>
    <row r="302" spans="1:2" x14ac:dyDescent="0.2">
      <c r="A302" s="79" t="s">
        <v>327</v>
      </c>
      <c r="B302" s="79" t="s">
        <v>329</v>
      </c>
    </row>
    <row r="303" spans="1:2" x14ac:dyDescent="0.2">
      <c r="A303" s="79" t="s">
        <v>330</v>
      </c>
      <c r="B303" s="79">
        <v>206134</v>
      </c>
    </row>
    <row r="304" spans="1:2" x14ac:dyDescent="0.2">
      <c r="A304" s="79" t="s">
        <v>334</v>
      </c>
      <c r="B304" s="79" t="s">
        <v>335</v>
      </c>
    </row>
    <row r="305" spans="1:2" x14ac:dyDescent="0.2">
      <c r="A305" s="1199" t="s">
        <v>332</v>
      </c>
      <c r="B305" s="1200" t="s">
        <v>333</v>
      </c>
    </row>
    <row r="306" spans="1:2" x14ac:dyDescent="0.2">
      <c r="A306" s="79" t="s">
        <v>336</v>
      </c>
      <c r="B306" s="79" t="s">
        <v>337</v>
      </c>
    </row>
    <row r="307" spans="1:2" x14ac:dyDescent="0.2">
      <c r="A307" s="79" t="s">
        <v>338</v>
      </c>
      <c r="B307" s="79">
        <v>206109</v>
      </c>
    </row>
    <row r="308" spans="1:2" x14ac:dyDescent="0.2">
      <c r="A308" s="79" t="s">
        <v>37</v>
      </c>
      <c r="B308" s="79">
        <v>2434</v>
      </c>
    </row>
    <row r="309" spans="1:2" x14ac:dyDescent="0.2">
      <c r="A309" s="1161" t="s">
        <v>597</v>
      </c>
      <c r="B309" s="147">
        <v>6905</v>
      </c>
    </row>
    <row r="310" spans="1:2" x14ac:dyDescent="0.2">
      <c r="A310" s="1158" t="s">
        <v>42</v>
      </c>
      <c r="B310" s="94">
        <v>2009</v>
      </c>
    </row>
    <row r="311" spans="1:2" x14ac:dyDescent="0.2">
      <c r="A311" s="1158" t="s">
        <v>38</v>
      </c>
      <c r="B311" s="94">
        <v>2522</v>
      </c>
    </row>
    <row r="312" spans="1:2" x14ac:dyDescent="0.2">
      <c r="A312" s="79" t="s">
        <v>340</v>
      </c>
      <c r="B312" s="79">
        <v>206110</v>
      </c>
    </row>
    <row r="313" spans="1:2" x14ac:dyDescent="0.2">
      <c r="A313" s="79" t="s">
        <v>342</v>
      </c>
      <c r="B313" s="79">
        <v>206135</v>
      </c>
    </row>
    <row r="314" spans="1:2" x14ac:dyDescent="0.2">
      <c r="A314" s="1158" t="s">
        <v>69</v>
      </c>
      <c r="B314" s="94">
        <v>4181</v>
      </c>
    </row>
    <row r="315" spans="1:2" x14ac:dyDescent="0.2">
      <c r="A315" s="79" t="s">
        <v>344</v>
      </c>
      <c r="B315" s="79">
        <v>509195</v>
      </c>
    </row>
    <row r="316" spans="1:2" x14ac:dyDescent="0.2">
      <c r="A316" s="87" t="s">
        <v>346</v>
      </c>
      <c r="B316" s="88" t="s">
        <v>347</v>
      </c>
    </row>
    <row r="317" spans="1:2" x14ac:dyDescent="0.2">
      <c r="A317" s="1201" t="s">
        <v>348</v>
      </c>
      <c r="B317" s="1202" t="s">
        <v>349</v>
      </c>
    </row>
    <row r="318" spans="1:2" x14ac:dyDescent="0.2">
      <c r="A318" s="79" t="s">
        <v>350</v>
      </c>
      <c r="B318" s="79" t="s">
        <v>352</v>
      </c>
    </row>
    <row r="319" spans="1:2" x14ac:dyDescent="0.2">
      <c r="A319" s="79" t="s">
        <v>353</v>
      </c>
      <c r="B319" s="79">
        <v>509199</v>
      </c>
    </row>
    <row r="320" spans="1:2" x14ac:dyDescent="0.2">
      <c r="A320" s="79" t="s">
        <v>355</v>
      </c>
      <c r="B320" s="79">
        <v>509197</v>
      </c>
    </row>
    <row r="321" spans="1:2" x14ac:dyDescent="0.2">
      <c r="A321" s="1151" t="s">
        <v>870</v>
      </c>
      <c r="B321" s="1211">
        <v>479383</v>
      </c>
    </row>
    <row r="322" spans="1:2" x14ac:dyDescent="0.2">
      <c r="A322" s="1170" t="s">
        <v>360</v>
      </c>
      <c r="B322" s="1168" t="s">
        <v>361</v>
      </c>
    </row>
    <row r="323" spans="1:2" x14ac:dyDescent="0.2">
      <c r="A323" s="1158" t="s">
        <v>70</v>
      </c>
      <c r="B323" s="94">
        <v>4182</v>
      </c>
    </row>
    <row r="324" spans="1:2" x14ac:dyDescent="0.2">
      <c r="A324" s="79" t="s">
        <v>357</v>
      </c>
      <c r="B324" s="79" t="s">
        <v>359</v>
      </c>
    </row>
    <row r="325" spans="1:2" x14ac:dyDescent="0.2">
      <c r="A325" s="79" t="s">
        <v>6</v>
      </c>
      <c r="B325" s="79">
        <v>1005</v>
      </c>
    </row>
    <row r="326" spans="1:2" x14ac:dyDescent="0.2">
      <c r="A326" s="489" t="s">
        <v>871</v>
      </c>
      <c r="B326" s="1179" t="s">
        <v>872</v>
      </c>
    </row>
    <row r="327" spans="1:2" x14ac:dyDescent="0.2">
      <c r="A327" s="1158" t="s">
        <v>39</v>
      </c>
      <c r="B327" s="94">
        <v>2436</v>
      </c>
    </row>
    <row r="328" spans="1:2" x14ac:dyDescent="0.2">
      <c r="A328" s="79" t="s">
        <v>362</v>
      </c>
      <c r="B328" s="79">
        <v>206117</v>
      </c>
    </row>
    <row r="329" spans="1:2" x14ac:dyDescent="0.2">
      <c r="A329" s="79" t="s">
        <v>40</v>
      </c>
      <c r="B329" s="79">
        <v>2452</v>
      </c>
    </row>
    <row r="330" spans="1:2" x14ac:dyDescent="0.2">
      <c r="A330" s="1158" t="s">
        <v>71</v>
      </c>
      <c r="B330" s="94">
        <v>4001</v>
      </c>
    </row>
    <row r="331" spans="1:2" x14ac:dyDescent="0.2">
      <c r="A331" s="79" t="s">
        <v>364</v>
      </c>
      <c r="B331" s="79">
        <v>206141</v>
      </c>
    </row>
    <row r="332" spans="1:2" x14ac:dyDescent="0.2">
      <c r="A332" s="1158" t="s">
        <v>41</v>
      </c>
      <c r="B332" s="94">
        <v>2627</v>
      </c>
    </row>
    <row r="333" spans="1:2" x14ac:dyDescent="0.2">
      <c r="A333" s="1158" t="s">
        <v>112</v>
      </c>
      <c r="B333" s="94">
        <v>5406</v>
      </c>
    </row>
    <row r="334" spans="1:2" x14ac:dyDescent="0.2">
      <c r="A334" s="1158" t="s">
        <v>113</v>
      </c>
      <c r="B334" s="94">
        <v>5407</v>
      </c>
    </row>
    <row r="335" spans="1:2" x14ac:dyDescent="0.2">
      <c r="A335" s="79" t="s">
        <v>366</v>
      </c>
      <c r="B335" s="79" t="s">
        <v>368</v>
      </c>
    </row>
    <row r="336" spans="1:2" x14ac:dyDescent="0.2">
      <c r="A336" s="79" t="s">
        <v>369</v>
      </c>
      <c r="B336" s="79">
        <v>258404</v>
      </c>
    </row>
    <row r="337" spans="1:2" x14ac:dyDescent="0.2">
      <c r="A337" s="1158" t="s">
        <v>101</v>
      </c>
      <c r="B337" s="79">
        <v>2473</v>
      </c>
    </row>
    <row r="338" spans="1:2" x14ac:dyDescent="0.2">
      <c r="A338" s="1158" t="s">
        <v>44</v>
      </c>
      <c r="B338" s="94">
        <v>2471</v>
      </c>
    </row>
    <row r="339" spans="1:2" x14ac:dyDescent="0.2">
      <c r="A339" s="79" t="s">
        <v>371</v>
      </c>
      <c r="B339" s="79">
        <v>258405</v>
      </c>
    </row>
    <row r="340" spans="1:2" x14ac:dyDescent="0.2">
      <c r="A340" s="79" t="s">
        <v>373</v>
      </c>
      <c r="B340" s="79">
        <v>258406</v>
      </c>
    </row>
    <row r="341" spans="1:2" x14ac:dyDescent="0.2">
      <c r="A341" s="79" t="s">
        <v>43</v>
      </c>
      <c r="B341" s="79">
        <v>2420</v>
      </c>
    </row>
    <row r="342" spans="1:2" x14ac:dyDescent="0.2">
      <c r="A342" s="79" t="s">
        <v>375</v>
      </c>
      <c r="B342" s="79">
        <v>206160</v>
      </c>
    </row>
    <row r="343" spans="1:2" x14ac:dyDescent="0.2">
      <c r="A343" s="79" t="s">
        <v>45</v>
      </c>
      <c r="B343" s="79">
        <v>2003</v>
      </c>
    </row>
    <row r="344" spans="1:2" x14ac:dyDescent="0.2">
      <c r="A344" s="1158" t="s">
        <v>46</v>
      </c>
      <c r="B344" s="94">
        <v>2423</v>
      </c>
    </row>
    <row r="345" spans="1:2" x14ac:dyDescent="0.2">
      <c r="A345" s="1158" t="s">
        <v>47</v>
      </c>
      <c r="B345" s="94">
        <v>2424</v>
      </c>
    </row>
    <row r="346" spans="1:2" x14ac:dyDescent="0.2">
      <c r="A346" s="79" t="s">
        <v>377</v>
      </c>
      <c r="B346" s="79" t="s">
        <v>379</v>
      </c>
    </row>
    <row r="347" spans="1:2" x14ac:dyDescent="0.2">
      <c r="A347" s="726" t="s">
        <v>873</v>
      </c>
      <c r="B347" s="1179" t="s">
        <v>874</v>
      </c>
    </row>
    <row r="348" spans="1:2" x14ac:dyDescent="0.2">
      <c r="A348" s="79" t="s">
        <v>382</v>
      </c>
      <c r="B348" s="79" t="s">
        <v>384</v>
      </c>
    </row>
    <row r="349" spans="1:2" x14ac:dyDescent="0.2">
      <c r="A349" s="79" t="s">
        <v>385</v>
      </c>
      <c r="B349" s="79">
        <v>206146</v>
      </c>
    </row>
    <row r="350" spans="1:2" x14ac:dyDescent="0.2">
      <c r="A350" s="1158" t="s">
        <v>48</v>
      </c>
      <c r="B350" s="94">
        <v>2439</v>
      </c>
    </row>
    <row r="351" spans="1:2" x14ac:dyDescent="0.2">
      <c r="A351" s="1158" t="s">
        <v>49</v>
      </c>
      <c r="B351" s="94">
        <v>2440</v>
      </c>
    </row>
    <row r="352" spans="1:2" x14ac:dyDescent="0.2">
      <c r="A352" s="80" t="s">
        <v>387</v>
      </c>
      <c r="B352" s="80" t="s">
        <v>388</v>
      </c>
    </row>
    <row r="353" spans="1:2" x14ac:dyDescent="0.2">
      <c r="A353" s="1158" t="s">
        <v>102</v>
      </c>
      <c r="B353" s="79">
        <v>2462</v>
      </c>
    </row>
    <row r="354" spans="1:2" x14ac:dyDescent="0.2">
      <c r="A354" s="1158" t="s">
        <v>50</v>
      </c>
      <c r="B354" s="94">
        <v>2463</v>
      </c>
    </row>
    <row r="355" spans="1:2" x14ac:dyDescent="0.2">
      <c r="A355" s="79" t="s">
        <v>51</v>
      </c>
      <c r="B355" s="79">
        <v>2505</v>
      </c>
    </row>
    <row r="356" spans="1:2" x14ac:dyDescent="0.2">
      <c r="A356" s="79" t="s">
        <v>52</v>
      </c>
      <c r="B356" s="79">
        <v>2000</v>
      </c>
    </row>
    <row r="357" spans="1:2" x14ac:dyDescent="0.2">
      <c r="A357" s="1158" t="s">
        <v>53</v>
      </c>
      <c r="B357" s="94">
        <v>2458</v>
      </c>
    </row>
    <row r="358" spans="1:2" x14ac:dyDescent="0.2">
      <c r="A358" s="79" t="s">
        <v>392</v>
      </c>
      <c r="B358" s="79" t="s">
        <v>394</v>
      </c>
    </row>
    <row r="359" spans="1:2" x14ac:dyDescent="0.2">
      <c r="A359" s="79" t="s">
        <v>54</v>
      </c>
      <c r="B359" s="79">
        <v>2001</v>
      </c>
    </row>
    <row r="360" spans="1:2" x14ac:dyDescent="0.2">
      <c r="A360" s="80" t="s">
        <v>395</v>
      </c>
      <c r="B360" s="80" t="s">
        <v>396</v>
      </c>
    </row>
    <row r="361" spans="1:2" x14ac:dyDescent="0.2">
      <c r="A361" s="79" t="s">
        <v>55</v>
      </c>
      <c r="B361" s="79">
        <v>2429</v>
      </c>
    </row>
    <row r="362" spans="1:2" x14ac:dyDescent="0.2">
      <c r="A362" s="79" t="s">
        <v>397</v>
      </c>
      <c r="B362" s="79">
        <v>113044</v>
      </c>
    </row>
    <row r="363" spans="1:2" x14ac:dyDescent="0.2">
      <c r="A363" s="79" t="s">
        <v>399</v>
      </c>
      <c r="B363" s="79" t="s">
        <v>401</v>
      </c>
    </row>
    <row r="364" spans="1:2" x14ac:dyDescent="0.2">
      <c r="A364" s="1158" t="s">
        <v>72</v>
      </c>
      <c r="B364" s="94">
        <v>4607</v>
      </c>
    </row>
    <row r="365" spans="1:2" x14ac:dyDescent="0.2">
      <c r="A365" s="665" t="s">
        <v>881</v>
      </c>
      <c r="B365" s="1169" t="s">
        <v>882</v>
      </c>
    </row>
    <row r="366" spans="1:2" x14ac:dyDescent="0.2">
      <c r="A366" s="726" t="s">
        <v>883</v>
      </c>
      <c r="B366" s="1154" t="s">
        <v>884</v>
      </c>
    </row>
    <row r="367" spans="1:2" x14ac:dyDescent="0.2">
      <c r="A367" s="79" t="s">
        <v>56</v>
      </c>
      <c r="B367" s="79">
        <v>2444</v>
      </c>
    </row>
    <row r="368" spans="1:2" x14ac:dyDescent="0.2">
      <c r="A368" s="1158" t="s">
        <v>57</v>
      </c>
      <c r="B368" s="94">
        <v>5209</v>
      </c>
    </row>
    <row r="369" spans="1:2" x14ac:dyDescent="0.2">
      <c r="A369" s="79" t="s">
        <v>402</v>
      </c>
      <c r="B369" s="79" t="s">
        <v>404</v>
      </c>
    </row>
    <row r="370" spans="1:2" x14ac:dyDescent="0.2">
      <c r="A370" s="79" t="s">
        <v>405</v>
      </c>
      <c r="B370" s="79" t="s">
        <v>407</v>
      </c>
    </row>
    <row r="371" spans="1:2" x14ac:dyDescent="0.2">
      <c r="A371" s="1158" t="s">
        <v>58</v>
      </c>
      <c r="B371" s="94">
        <v>2469</v>
      </c>
    </row>
    <row r="372" spans="1:2" x14ac:dyDescent="0.2">
      <c r="A372" s="79" t="s">
        <v>408</v>
      </c>
      <c r="B372" s="79" t="s">
        <v>410</v>
      </c>
    </row>
    <row r="373" spans="1:2" x14ac:dyDescent="0.2">
      <c r="A373" s="99" t="s">
        <v>411</v>
      </c>
      <c r="B373" s="99" t="s">
        <v>412</v>
      </c>
    </row>
    <row r="374" spans="1:2" x14ac:dyDescent="0.2">
      <c r="A374" s="1158" t="s">
        <v>59</v>
      </c>
      <c r="B374" s="94">
        <v>2466</v>
      </c>
    </row>
    <row r="375" spans="1:2" x14ac:dyDescent="0.2">
      <c r="A375" s="79" t="s">
        <v>60</v>
      </c>
      <c r="B375" s="79">
        <v>3543</v>
      </c>
    </row>
    <row r="376" spans="1:2" x14ac:dyDescent="0.2">
      <c r="A376" s="79" t="s">
        <v>413</v>
      </c>
      <c r="B376" s="79">
        <v>206152</v>
      </c>
    </row>
    <row r="377" spans="1:2" x14ac:dyDescent="0.2">
      <c r="A377" s="79" t="s">
        <v>415</v>
      </c>
      <c r="B377" s="79">
        <v>206153</v>
      </c>
    </row>
    <row r="378" spans="1:2" x14ac:dyDescent="0.2">
      <c r="A378" s="1158" t="s">
        <v>62</v>
      </c>
      <c r="B378" s="94">
        <v>3531</v>
      </c>
    </row>
    <row r="379" spans="1:2" x14ac:dyDescent="0.2">
      <c r="A379" s="79" t="s">
        <v>63</v>
      </c>
      <c r="B379" s="79">
        <v>3526</v>
      </c>
    </row>
    <row r="380" spans="1:2" x14ac:dyDescent="0.2">
      <c r="A380" s="1158" t="s">
        <v>104</v>
      </c>
      <c r="B380" s="94">
        <v>3535</v>
      </c>
    </row>
    <row r="381" spans="1:2" x14ac:dyDescent="0.2">
      <c r="A381" s="1203" t="s">
        <v>64</v>
      </c>
      <c r="B381" s="94">
        <v>2008</v>
      </c>
    </row>
    <row r="382" spans="1:2" x14ac:dyDescent="0.2">
      <c r="A382" s="1158" t="s">
        <v>105</v>
      </c>
      <c r="B382" s="94">
        <v>3542</v>
      </c>
    </row>
    <row r="383" spans="1:2" x14ac:dyDescent="0.2">
      <c r="A383" s="90" t="s">
        <v>417</v>
      </c>
      <c r="B383" s="79">
        <v>206154</v>
      </c>
    </row>
    <row r="384" spans="1:2" x14ac:dyDescent="0.2">
      <c r="A384" s="1158" t="s">
        <v>106</v>
      </c>
      <c r="B384" s="79">
        <v>3528</v>
      </c>
    </row>
    <row r="385" spans="1:2" x14ac:dyDescent="0.2">
      <c r="A385" s="80" t="s">
        <v>419</v>
      </c>
      <c r="B385" s="80" t="s">
        <v>420</v>
      </c>
    </row>
    <row r="386" spans="1:2" x14ac:dyDescent="0.2">
      <c r="A386" s="1158" t="s">
        <v>107</v>
      </c>
      <c r="B386" s="94">
        <v>3534</v>
      </c>
    </row>
    <row r="387" spans="1:2" x14ac:dyDescent="0.2">
      <c r="A387" s="1158" t="s">
        <v>108</v>
      </c>
      <c r="B387" s="143">
        <v>3532</v>
      </c>
    </row>
    <row r="388" spans="1:2" x14ac:dyDescent="0.2">
      <c r="A388" s="107" t="s">
        <v>7</v>
      </c>
      <c r="B388" s="79">
        <v>1010</v>
      </c>
    </row>
    <row r="389" spans="1:2" x14ac:dyDescent="0.2">
      <c r="A389" s="107" t="s">
        <v>421</v>
      </c>
      <c r="B389" s="79" t="s">
        <v>423</v>
      </c>
    </row>
    <row r="390" spans="1:2" x14ac:dyDescent="0.2">
      <c r="A390" s="1158" t="s">
        <v>114</v>
      </c>
      <c r="B390" s="94">
        <v>4177</v>
      </c>
    </row>
    <row r="391" spans="1:2" x14ac:dyDescent="0.2">
      <c r="A391" s="79" t="s">
        <v>424</v>
      </c>
      <c r="B391" s="79" t="s">
        <v>426</v>
      </c>
    </row>
    <row r="392" spans="1:2" x14ac:dyDescent="0.2">
      <c r="A392" s="79" t="s">
        <v>427</v>
      </c>
      <c r="B392" s="79">
        <v>206103</v>
      </c>
    </row>
    <row r="393" spans="1:2" x14ac:dyDescent="0.2">
      <c r="A393" s="79" t="s">
        <v>428</v>
      </c>
      <c r="B393" s="79" t="s">
        <v>430</v>
      </c>
    </row>
    <row r="394" spans="1:2" x14ac:dyDescent="0.2">
      <c r="A394" s="79" t="s">
        <v>431</v>
      </c>
      <c r="B394" s="79" t="s">
        <v>433</v>
      </c>
    </row>
    <row r="395" spans="1:2" x14ac:dyDescent="0.2">
      <c r="A395" s="79" t="s">
        <v>434</v>
      </c>
      <c r="B395" s="79">
        <v>258420</v>
      </c>
    </row>
    <row r="396" spans="1:2" x14ac:dyDescent="0.2">
      <c r="A396" s="79" t="s">
        <v>436</v>
      </c>
      <c r="B396" s="79">
        <v>258424</v>
      </c>
    </row>
    <row r="397" spans="1:2" x14ac:dyDescent="0.2">
      <c r="A397" s="79" t="s">
        <v>438</v>
      </c>
      <c r="B397" s="79" t="s">
        <v>439</v>
      </c>
    </row>
    <row r="398" spans="1:2" x14ac:dyDescent="0.2">
      <c r="A398" s="142" t="s">
        <v>65</v>
      </c>
      <c r="B398" s="79">
        <v>3546</v>
      </c>
    </row>
    <row r="399" spans="1:2" x14ac:dyDescent="0.2">
      <c r="A399" s="140" t="s">
        <v>8</v>
      </c>
      <c r="B399" s="79">
        <v>1009</v>
      </c>
    </row>
    <row r="400" spans="1:2" x14ac:dyDescent="0.2">
      <c r="A400" s="142" t="s">
        <v>66</v>
      </c>
      <c r="B400" s="79">
        <v>3530</v>
      </c>
    </row>
    <row r="401" spans="1:2" x14ac:dyDescent="0.2">
      <c r="A401" s="1158" t="s">
        <v>74</v>
      </c>
      <c r="B401" s="94">
        <v>5412</v>
      </c>
    </row>
    <row r="402" spans="1:2" ht="15" x14ac:dyDescent="0.2">
      <c r="A402" s="146" t="s">
        <v>445</v>
      </c>
      <c r="B402" s="146" t="s">
        <v>446</v>
      </c>
    </row>
    <row r="403" spans="1:2" x14ac:dyDescent="0.2">
      <c r="A403" s="140" t="s">
        <v>440</v>
      </c>
      <c r="B403" s="144" t="s">
        <v>442</v>
      </c>
    </row>
    <row r="404" spans="1:2" x14ac:dyDescent="0.2">
      <c r="A404" s="79" t="s">
        <v>9</v>
      </c>
      <c r="B404" s="140">
        <v>1015</v>
      </c>
    </row>
    <row r="405" spans="1:2" x14ac:dyDescent="0.2">
      <c r="A405" s="141" t="s">
        <v>443</v>
      </c>
      <c r="B405" s="145" t="s">
        <v>444</v>
      </c>
    </row>
    <row r="406" spans="1:2" x14ac:dyDescent="0.2">
      <c r="A406" s="142" t="s">
        <v>447</v>
      </c>
      <c r="B406" s="79">
        <v>509204</v>
      </c>
    </row>
    <row r="407" spans="1:2" x14ac:dyDescent="0.2">
      <c r="A407" s="1206" t="s">
        <v>67</v>
      </c>
      <c r="B407" s="143">
        <v>2459</v>
      </c>
    </row>
    <row r="408" spans="1:2" x14ac:dyDescent="0.2">
      <c r="A408" s="79" t="s">
        <v>96</v>
      </c>
      <c r="B408" s="79">
        <v>2007</v>
      </c>
    </row>
  </sheetData>
  <sheetProtection password="EF5C" sheet="1" objects="1" scenarios="1"/>
  <pageMargins left="0.51181102362204722" right="0.51181102362204722" top="0.55118110236220474" bottom="0.55118110236220474" header="0.31496062992125984" footer="0.31496062992125984"/>
  <pageSetup paperSize="8"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15</vt:i4>
      </vt:variant>
    </vt:vector>
  </HeadingPairs>
  <TitlesOfParts>
    <vt:vector size="39" baseType="lpstr">
      <vt:lpstr>School Formula Budget 2015-16</vt:lpstr>
      <vt:lpstr>Special Schools &amp; PRU</vt:lpstr>
      <vt:lpstr>Summary for Prints</vt:lpstr>
      <vt:lpstr>2015-16 Nursery Budget Final</vt:lpstr>
      <vt:lpstr>Special Schools 2015-16</vt:lpstr>
      <vt:lpstr>School &amp; Nursery Setting Lookup</vt:lpstr>
      <vt:lpstr>Special Schools List</vt:lpstr>
      <vt:lpstr>ERS 2015-16</vt:lpstr>
      <vt:lpstr>2015-16 FORMULA</vt:lpstr>
      <vt:lpstr>2015 Factor % to units</vt:lpstr>
      <vt:lpstr>IMS after cleansed by EFA</vt:lpstr>
      <vt:lpstr>AWPU</vt:lpstr>
      <vt:lpstr>DEP</vt:lpstr>
      <vt:lpstr>LAC</vt:lpstr>
      <vt:lpstr>LCHI</vt:lpstr>
      <vt:lpstr>EAL</vt:lpstr>
      <vt:lpstr>MOB</vt:lpstr>
      <vt:lpstr>LUMP SUM</vt:lpstr>
      <vt:lpstr>SPLIT SITE</vt:lpstr>
      <vt:lpstr>PFI</vt:lpstr>
      <vt:lpstr>RATES</vt:lpstr>
      <vt:lpstr>2015-16 MFG</vt:lpstr>
      <vt:lpstr>Notional SEN</vt:lpstr>
      <vt:lpstr>DE-DEL</vt:lpstr>
      <vt:lpstr>'2015 Factor % to units'!Print_Area</vt:lpstr>
      <vt:lpstr>'2015-16 FORMULA'!Print_Area</vt:lpstr>
      <vt:lpstr>'2015-16 Nursery Budget Final'!Print_Area</vt:lpstr>
      <vt:lpstr>'IMS after cleansed by EFA'!Print_Area</vt:lpstr>
      <vt:lpstr>RATES!Print_Area</vt:lpstr>
      <vt:lpstr>'School Formula Budget 2015-16'!Print_Area</vt:lpstr>
      <vt:lpstr>'Special Schools &amp; PRU'!Print_Area</vt:lpstr>
      <vt:lpstr>'Summary for Prints'!Print_Area</vt:lpstr>
      <vt:lpstr>'2015 Factor % to units'!Print_Titles</vt:lpstr>
      <vt:lpstr>'2015-16 FORMULA'!Print_Titles</vt:lpstr>
      <vt:lpstr>'2015-16 Nursery Budget Final'!Print_Titles</vt:lpstr>
      <vt:lpstr>'ERS 2015-16'!Print_Titles</vt:lpstr>
      <vt:lpstr>'IMS after cleansed by EFA'!Print_Titles</vt:lpstr>
      <vt:lpstr>RATES!Print_Titles</vt:lpstr>
      <vt:lpstr>'Summary for Prints'!Print_Titles</vt:lpstr>
    </vt:vector>
  </TitlesOfParts>
  <Company>Derby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Appleby</dc:creator>
  <cp:lastModifiedBy>Any DCC User</cp:lastModifiedBy>
  <cp:lastPrinted>2015-02-16T09:49:57Z</cp:lastPrinted>
  <dcterms:created xsi:type="dcterms:W3CDTF">2013-06-05T12:36:50Z</dcterms:created>
  <dcterms:modified xsi:type="dcterms:W3CDTF">2015-02-18T15:38:44Z</dcterms:modified>
</cp:coreProperties>
</file>